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465"/>
  </bookViews>
  <sheets>
    <sheet name="80元基本公卫测算" sheetId="3" r:id="rId1"/>
  </sheets>
  <calcPr calcId="144525"/>
</workbook>
</file>

<file path=xl/comments1.xml><?xml version="1.0" encoding="utf-8"?>
<comments xmlns="http://schemas.openxmlformats.org/spreadsheetml/2006/main">
  <authors>
    <author>lenovo</author>
  </authors>
  <commentList>
    <comment ref="H9" authorId="0">
      <text>
        <r>
          <rPr>
            <sz val="9"/>
            <rFont val="宋体"/>
            <charset val="134"/>
          </rPr>
          <t>lenovo:
指：建档总数的40%。</t>
        </r>
      </text>
    </comment>
    <comment ref="I9" authorId="0">
      <text>
        <r>
          <rPr>
            <sz val="9"/>
            <rFont val="宋体"/>
            <charset val="134"/>
          </rPr>
          <t>lenovo:
指：建档总数的40%。</t>
        </r>
      </text>
    </comment>
    <comment ref="L35" authorId="0">
      <text>
        <r>
          <rPr>
            <b/>
            <sz val="9"/>
            <rFont val="宋体"/>
            <charset val="134"/>
          </rPr>
          <t>lenovo:</t>
        </r>
        <r>
          <rPr>
            <sz val="9"/>
            <rFont val="宋体"/>
            <charset val="134"/>
          </rPr>
          <t xml:space="preserve">
腹部超声检查80元/人，血、尿常规，血生化，心电图等其他辅助检查120元/人。</t>
        </r>
      </text>
    </comment>
  </commentList>
</comments>
</file>

<file path=xl/sharedStrings.xml><?xml version="1.0" encoding="utf-8"?>
<sst xmlns="http://schemas.openxmlformats.org/spreadsheetml/2006/main" count="435" uniqueCount="296">
  <si>
    <t>附件4</t>
  </si>
  <si>
    <t>三亚市2023年度基本公共卫生服务项目经费测算和任务分工表</t>
  </si>
  <si>
    <t>项目类别</t>
  </si>
  <si>
    <t>项目编号</t>
  </si>
  <si>
    <t>项目内容</t>
  </si>
  <si>
    <t>工作量标化标准（元/人/次）</t>
  </si>
  <si>
    <t>经费测算</t>
  </si>
  <si>
    <t>两级资金分配</t>
  </si>
  <si>
    <t>工作任务</t>
  </si>
  <si>
    <t>测算说明</t>
  </si>
  <si>
    <t>两级分工</t>
  </si>
  <si>
    <t>三级协同分工</t>
  </si>
  <si>
    <t>绩效评价指标</t>
  </si>
  <si>
    <t>人口数（万人）</t>
  </si>
  <si>
    <t>绩效
目标值</t>
  </si>
  <si>
    <t>任务
目标值</t>
  </si>
  <si>
    <t>任务目标或预算管理数量</t>
  </si>
  <si>
    <t>单位</t>
  </si>
  <si>
    <t>成本单价
（元）</t>
  </si>
  <si>
    <t>项目金额
（万元）</t>
  </si>
  <si>
    <t>人均单价
（元）</t>
  </si>
  <si>
    <t>单价占比
（100%）</t>
  </si>
  <si>
    <t>项目切块资金总额
（万元）</t>
  </si>
  <si>
    <t>项目切块人均单价
（元）</t>
  </si>
  <si>
    <t>项目切块资金占比
（%）</t>
  </si>
  <si>
    <t>卫生院/社区卫生服务中心</t>
  </si>
  <si>
    <t>卫生室/服务站</t>
  </si>
  <si>
    <t>单价标准
（元）</t>
  </si>
  <si>
    <t>项目经费
（万元）</t>
  </si>
  <si>
    <t>街占比
（100%）</t>
  </si>
  <si>
    <t>村占比
（100%）</t>
  </si>
  <si>
    <t>卫生院、社区卫生服务中心</t>
  </si>
  <si>
    <t>服务站、村卫生室</t>
  </si>
  <si>
    <t>一级</t>
  </si>
  <si>
    <t>二级</t>
  </si>
  <si>
    <t>三级</t>
  </si>
  <si>
    <t>1.居民健康档案</t>
  </si>
  <si>
    <t>1.1</t>
  </si>
  <si>
    <t>新建居民健康档案或开展规范化管理</t>
  </si>
  <si>
    <t>万人</t>
  </si>
  <si>
    <t>通过门诊服务、入户调查、疾病筛查、健康体检等多种方式，为城乡居民建立健康档案或为已经建立健康档案的居民开展一般健康体检并录入信息系统。健康档案内容包括个人基本信息、健康体检信息、重点人群健康管理记录和其他医疗卫生服务记录。2023年居民健康档案规范化电子建档覆盖率为62%。</t>
  </si>
  <si>
    <t>建立一份新的电子健康健康档案4元或对已经建立健康档案的居民开展一般健康体检，对居民进行健康指导并录入信息系统，含人力成本、材料费、通讯费、交通费和电子健康档案的录入等。</t>
  </si>
  <si>
    <t>为辅承担。</t>
  </si>
  <si>
    <t>为主承担。
建立居民健康档案，开展档案复核维护工作，及时录入电子信息系统。为新建档案的居民测血型。进行档案使用和档案更新。</t>
  </si>
  <si>
    <t>－</t>
  </si>
  <si>
    <r>
      <rPr>
        <b/>
        <sz val="10"/>
        <rFont val="仿宋_GB2312"/>
        <charset val="134"/>
      </rPr>
      <t xml:space="preserve">1.数量指标：
</t>
    </r>
    <r>
      <rPr>
        <sz val="10"/>
        <rFont val="仿宋_GB2312"/>
        <charset val="134"/>
      </rPr>
      <t>电子健康档案建档率=建立电子健康档案的人数/辖区内常住居民数×100%。（90%）</t>
    </r>
    <r>
      <rPr>
        <b/>
        <sz val="10"/>
        <rFont val="仿宋_GB2312"/>
        <charset val="134"/>
      </rPr>
      <t xml:space="preserve">
2.质量指标：
</t>
    </r>
    <r>
      <rPr>
        <sz val="10"/>
        <rFont val="仿宋_GB2312"/>
        <charset val="134"/>
      </rPr>
      <t>居民规范化电子健康档案覆盖率=居民规范化电子健康档案覆盖人数/辖区内常住居民数×100%。（62%）</t>
    </r>
    <r>
      <rPr>
        <b/>
        <sz val="10"/>
        <rFont val="仿宋_GB2312"/>
        <charset val="134"/>
      </rPr>
      <t xml:space="preserve">
3.效果指标：
</t>
    </r>
    <r>
      <rPr>
        <sz val="10"/>
        <rFont val="仿宋_GB2312"/>
        <charset val="134"/>
      </rPr>
      <t>居民健康档案动态使用率=健康档案中有动态记录的档案分数/档案总份数。（50%）</t>
    </r>
  </si>
  <si>
    <t>1.2</t>
  </si>
  <si>
    <t>居民健康档案更新和维护</t>
  </si>
  <si>
    <t>在居民就诊、复诊、参加健康体检时，由接诊医生或公卫人员负责更新健康档案内容，并予以录入信息系统。</t>
  </si>
  <si>
    <t>1.更新和维护一份健康档案2元，包括一般健康体检、随访、更新、保存、整理、录入居民健康体检表等，含人力成本、材料费、通讯费等。
2.2023年居民健康档案规范化电子健康档案覆盖率要达62%以上，档案动态使用率要达50%以上。</t>
  </si>
  <si>
    <t>居民健康档案清查</t>
  </si>
  <si>
    <t>万份</t>
  </si>
  <si>
    <t>50%%</t>
  </si>
  <si>
    <t>1.3</t>
  </si>
  <si>
    <t>家签协议和提供服务等</t>
  </si>
  <si>
    <t>1.以人为单位进行签约。
2.每年对签约人员进行一次健康状况评估、免费发放健康教育处方及医学科普资料。
3.免费为签约人员建立健康档案，并实施动态管理。对高血压、糖尿病等慢性病患者及重症精神病患者提供每年不少于4次的主动健康咨询和分类指导服务。
4.提供24小时免费电话咨询，给与健康、预防、保健等方面指导。
5.定期通过门诊、电话、上门等方式对签约人员的健康状况进行调查和管理紧急情况时帮助联系转诊。</t>
  </si>
  <si>
    <t>按照工作任务，每人签约服务费20元，2023年常住人口签约率30%。进行家庭医生签约服务与基本公共卫生服务项目服务内容重复部分费用，由基层医疗卫生机构自行选择一项进行发放，不得重复发放。</t>
  </si>
  <si>
    <t>2.健康教育</t>
  </si>
  <si>
    <t>2.1</t>
  </si>
  <si>
    <t>印刷和发放健康教育资料</t>
  </si>
  <si>
    <t>—</t>
  </si>
  <si>
    <t>万人次</t>
  </si>
  <si>
    <t>包括健康教育折页、健康教育处方和健康手册等。放置在乡镇卫生院、村卫生室、社区卫生服务中心（站）的候诊区、诊室、咨询台等处。</t>
  </si>
  <si>
    <t>每份健康教育资料平均0.6元，含人力成本、印刷、邮寄等费用。每年基层医疗卫生服务机构的就诊总人次数约为2486.45万人次，估计有60%的就诊患者接受此项服务。</t>
  </si>
  <si>
    <t>分别承担。
每年更换宣传栏12次；开展健康教育讲座每月1期；开展公众咨询活动9期；播放音像资料；印制宣传材料；开展个性化健康教育。</t>
  </si>
  <si>
    <t>分别承担。
每年更换宣传栏6次；开展健康教育讲座每2月1期；发放宣传材料；开展个性化健康教育。</t>
  </si>
  <si>
    <r>
      <rPr>
        <b/>
        <sz val="10"/>
        <rFont val="仿宋_GB2312"/>
        <charset val="134"/>
      </rPr>
      <t>数量指标：</t>
    </r>
    <r>
      <rPr>
        <sz val="10"/>
        <rFont val="仿宋_GB2312"/>
        <charset val="134"/>
      </rPr>
      <t xml:space="preserve">
1.每年发放不少于12种健康教育印刷材料。
2.卫生院和社区卫生服务中心每年播放不少于6种的健康教育音像材料。
3.卫生院和社区卫生服务中心设置宣传栏不少于2个，卫生室和社区卫生服务站设置宣传栏不少于1个，均每2个月更换至少1次。
4.卫生院和社区卫生服务中心每年开展公众咨询活动至少9次。
5.卫生和社区卫生服务中心每月至少举办1次健康知识讲座。卫生室和社区卫生服务站每两个月至少举办1次健康知识讲座。</t>
    </r>
  </si>
  <si>
    <t>2.2</t>
  </si>
  <si>
    <t>播放音像资料</t>
  </si>
  <si>
    <t>个</t>
  </si>
  <si>
    <t>在正常应诊的时间内，在门诊候诊区、观察室、健教室等场所或宣传活动现场播放视听传播资料，如VCD、DVD、健康教育云盒、U盘等各种影音视频资料。</t>
  </si>
  <si>
    <t>在机构场所或宣传活动现场播放健康教育音像资料。按每个机构每年至少播放250天，每天至少播放6小时，每个机构补助600元。包括人力成本、播放以及设备维护、接入健康教育视频联播平台等费用。</t>
  </si>
  <si>
    <t>2.3</t>
  </si>
  <si>
    <t>设置健康教育宣传栏并更新（乡镇卫生院、社区卫生服务中心和农场医院）</t>
  </si>
  <si>
    <t>1.在机构户外、健康教育室、候诊室、输液室或收费大厅的明显位置设置健康教育宣传栏，卫生院和社区卫生服务中心宣传栏不少于2个，村卫生室和社区卫生服务站宣传栏不少于1个。
2.每个宣传栏的面积不少于2平方米。宣传栏中心位置距地面1.5～1.6米高。
3.每个机构每2个月最少更换1次健康教育宣传栏内容。</t>
  </si>
  <si>
    <t>16家卫生院、4家社区卫生服务中心和1家市管服务站配置2个宣传栏，每年至少更新6期，每期200元，包括人力成本、内容制作、版面设计、橱窗维护等。</t>
  </si>
  <si>
    <t>设置健康教育宣传栏并更新( 卫生室和社区卫生服务站)</t>
  </si>
  <si>
    <t>20家社区卫生服务站和94家村卫生室配置1个宣传栏，每年至少更新6期，每期200元，包括人力成本、内容制作、版面设计、橱窗维护等。</t>
  </si>
  <si>
    <t>2.4</t>
  </si>
  <si>
    <t>开展公众健康咨询活动</t>
  </si>
  <si>
    <t>1.利用各种健康主题日或针对辖区重点健康问题，开展健康咨询活动并发放宣传资料。
2.卫生院和社区卫生服务中心每年至少开展9次公众健康咨询活动。</t>
  </si>
  <si>
    <t>7家市级医疗机构、16家卫生院、4家社区卫生服务中心和1家市管服务站每年至少开展9次健康咨询活动，每次1000元，包括人力成本、横幅费、交通费、通讯费、宣传材料、健教物品、照相、摄影、录音等费用。</t>
  </si>
  <si>
    <t>2.5</t>
  </si>
  <si>
    <t>举办健康知识讲座、咨询活动（市级机构）</t>
  </si>
  <si>
    <t>举办健康知识讲座（乡镇卫生院、社区卫生服务中心和农场医院）</t>
  </si>
  <si>
    <t>1.卫生院和社区卫生服务中心每月举办1次健康知识讲座，村卫生室和社区卫生服务站每两个月至少举办1次健康知识讲座。
2.引导居民学习、掌握健康知识及必要的健康技能，促进辖区内居民的身心健康。</t>
  </si>
  <si>
    <t>16家卫生院、4家社区卫生服务中心和1家市管服务站每年至少举办12次，每次800元，包括人力成本、横幅费、授课费、交通费、通讯费、场租费、健教物品材料、照相、摄影、录音、撰写报告等费用。</t>
  </si>
  <si>
    <t>举办健康知识讲座( 卫生室和社区卫生服务站)</t>
  </si>
  <si>
    <t>20家社区卫生服务站和94家村卫生每年至少举办6次，每次600元，包括人力成本、授课费、交通费、通讯费、场租费、健教物品材料、照相、摄影、录音、撰写报告及印刷费等费用。</t>
  </si>
  <si>
    <t>2.6</t>
  </si>
  <si>
    <t>个体化健康教育</t>
  </si>
  <si>
    <t>医务人员在提供门诊、访视、随访等医疗卫生服务时，针对重点人群结合本地区的主要健康问题和服务对象的主要健康问题，包括职业病危害等开展有针对性的个体化健康知识和健康技能的教育。</t>
  </si>
  <si>
    <t>在门诊、访视、随访后提供健康问题评估或开具发放健康教育处方，每份0.6元，包括人力成本、印刷、邮寄等费用。每年基层医疗卫生服务机构就诊总人次数约为87.96万人次，向就诊对象提供个体化有针对性的问题评估或健康教育处方，发放率为90%。</t>
  </si>
  <si>
    <t>3.孕产妇健康管理</t>
  </si>
  <si>
    <t>3.1</t>
  </si>
  <si>
    <t>孕早期健康管理</t>
  </si>
  <si>
    <t>孕13周前为孕妇建立《孕产妇保健手册》或《母子健康手册》，进行第1次产前随访，内容包括孕妇健康状况评估，一般体格检查、妇科检查和血常规、尿常规、血型、肝功、肾功检测等并开展针对性的健康指导。检查结果填写在第1次产前随访服务记录表中。同时录入海南省妇幼健康服务管理信息系统。</t>
  </si>
  <si>
    <t>包括一般健康检查、妇科检查及指导（20元），血常规(15元)，尿常规(15元)，血型(5元)，肝功能五项（30元），肾功能（20元），建册及预约（10元），督促管理（10元）、B超35元、HIV抗体检测15元、梅毒抗体检测15元，共190元/人次，全年目标人群约1.2万人，目标覆盖率达到90%。</t>
  </si>
  <si>
    <t>为主承担。
印制有关纸质材料，按照规范开展孕产妇健康管理各项工作，督促2-5次产前检查，及时录入电子信息系统。</t>
  </si>
  <si>
    <t>为辅承担。
建立辖区孕产妇管理底册，及时通知辖区孕产妇到街道卫生院接受健康管理；协助卫生院和社区卫生服务中心医师开展入户访视。开展健康教育和档案开放查询指导。</t>
  </si>
  <si>
    <r>
      <rPr>
        <b/>
        <sz val="10"/>
        <rFont val="仿宋_GB2312"/>
        <charset val="134"/>
      </rPr>
      <t>数量指标：</t>
    </r>
    <r>
      <rPr>
        <sz val="10"/>
        <rFont val="仿宋_GB2312"/>
        <charset val="134"/>
      </rPr>
      <t xml:space="preserve">
1.早孕建册率=辖区内孕13周之前建册并进行第一次产前检查的人数/该地该时间段内活产数×100%。（90%）
2.产后访视率=辖区内产妇出院后28天内接受过产后访视的产妇人数/该地该时间段内活产数×100%。（90%）
</t>
    </r>
    <r>
      <rPr>
        <b/>
        <sz val="10"/>
        <rFont val="仿宋_GB2312"/>
        <charset val="134"/>
      </rPr>
      <t>参考指标：</t>
    </r>
    <r>
      <rPr>
        <sz val="10"/>
        <rFont val="仿宋_GB2312"/>
        <charset val="134"/>
      </rPr>
      <t xml:space="preserve">
孕产妇系统管理率：90%。</t>
    </r>
  </si>
  <si>
    <t>3.2</t>
  </si>
  <si>
    <t>孕中、晚期健康管理</t>
  </si>
  <si>
    <t>孕16～20周、21～24周、28～36周、37～40周各进行1次随访，每次随访时通过询问、观察、一般体格检查、产科检查、实验室检查对孕妇健康和胎儿的生长发育状况进行评估，识别需要做产前诊断和需要转诊的高危重点孕妇并开展针对性的健康指导。将信息填写在第2-5次产前随访服务记录表中，同时录入海南省妇幼健康服务管理信息系统。</t>
  </si>
  <si>
    <t>共4次，每次随访包括一般健康检查（5元）、妇科检查及指导（20元）、血常规（15元）、尿常规（15元），共55元/人次。目标人群1.2万人，预计目标覆盖率达到90%。</t>
  </si>
  <si>
    <t>3.3</t>
  </si>
  <si>
    <t>产后访视</t>
  </si>
  <si>
    <t>收到分娩医院转来的产妇分娩信息后，于3～7天内到产妇家中进行产后访视，进行产褥期健康管理，加强母乳喂养和新生儿护理指导，同时进行新生儿访视。将访视结果填写在产后访视记录表中，同时录入海南省妇幼健康服务管理信息系统。</t>
  </si>
  <si>
    <t>在产妇家中进行，包括访视交通费（10元），询问和检查其一般健康状况以及恢复情况（15元），进行产褥期保健指导（10元），共计35元/人次，全年目标人群约1.2万人，目标覆盖率达到90%。</t>
  </si>
  <si>
    <t>3.4</t>
  </si>
  <si>
    <t>产后42天健康检查</t>
  </si>
  <si>
    <t>为正常产妇做产后健康检查（产后检查、一般检查和妇科检查），进行相关的健康指导，异常产妇到原分娩医疗保健机构检查。将检查结果填写在产后42周健康检查记录表中，同时录入海南省妇幼健康服务管理信息系统。</t>
  </si>
  <si>
    <t>包括一般健康检查、妇科检查、心理健康状态筛查及指导（40元/人次），全年目标人群约1.2万人，目标覆盖率达到90%。</t>
  </si>
  <si>
    <t>4.0-6岁儿童
健康管理</t>
  </si>
  <si>
    <t>4.1</t>
  </si>
  <si>
    <t>新生儿家庭访视</t>
  </si>
  <si>
    <t>1.新生儿出生后由分娩机构建立《0～6岁儿童保健手册》，记录出生时体重、身长，出院后１周内，医务人员到新生儿家中进行访视。了解出生时情况、预防接种情况，在开展新生儿疾病筛查的地区了解新生儿疾病筛查情况等。观察家居环境，重点询问和观察喂养、睡眠、大小便、黄疸、脐部情况、口腔发育等。
2.为新生儿测量体温、进行体格检查，检查结果填写在新生儿家庭访视服务记录表中，同时录入海南省妇幼健康服务管理信息系统，根据新生儿的具体情况，有针对性地对家长进行母乳喂养、护理和常见疾病预防指导。对于低出生体重、早产、双多胎或有出生缺陷的新生儿根据实际情况增加访视次数。</t>
  </si>
  <si>
    <t>访视一次35元，包括交通费（15元），建册、新生儿体检及指导（20元）。全年目标人群约1.2万人，目标覆盖率达到90%。</t>
  </si>
  <si>
    <t>为主承担。
印制有关纸质材料，按照规范开展儿童健康管理各项工作，及时录入电子信息系统。</t>
  </si>
  <si>
    <t>为辅承担。
建立辖区儿童管理底册，及时通知辖区适龄儿童到街道卫生院接受健康管理；协助卫生院和社区卫生服务中心医师开展入户访视。开展健康教育和档案开放查询指导。</t>
  </si>
  <si>
    <r>
      <rPr>
        <b/>
        <sz val="10"/>
        <rFont val="仿宋_GB2312"/>
        <charset val="134"/>
      </rPr>
      <t>数量指标：</t>
    </r>
    <r>
      <rPr>
        <sz val="10"/>
        <rFont val="仿宋_GB2312"/>
        <charset val="134"/>
      </rPr>
      <t xml:space="preserve">
1.新生儿访视率=年度辖区内接受1次及以上访视的新生儿人数/年度辖区内活产数×100%。（90%）
2.儿童健康管理率=年度辖区内接受1次及以上随访的0-6岁儿童人数/辖区内0-6岁儿童数×100%。（90%）
3.0-6岁儿童眼保健和视力检查覆盖率=年度辖区内接受1次及以上眼保健和视力检查的0-6岁儿童人数/辖区内0-6岁儿童数×100%。（90%）。（90%）
</t>
    </r>
    <r>
      <rPr>
        <b/>
        <sz val="10"/>
        <rFont val="仿宋_GB2312"/>
        <charset val="134"/>
      </rPr>
      <t>参考指标：</t>
    </r>
    <r>
      <rPr>
        <sz val="10"/>
        <rFont val="仿宋_GB2312"/>
        <charset val="134"/>
      </rPr>
      <t xml:space="preserve">
7岁以下儿童健康管理率：90%。
3岁以下儿童系统管理率：90%。</t>
    </r>
  </si>
  <si>
    <t>4.2</t>
  </si>
  <si>
    <t>新生儿满月健康管理</t>
  </si>
  <si>
    <t>新生儿满28天后，结合接种乙肝疫苗第二针，在乡镇卫生院、社区卫生服务中心进行随访。重点询问和观察新生儿的喂养、睡眠、大小便、黄疸等情况，对其进行体重、身长测量、体格检查和发育评估。检查结果填写在1-8月龄满月健康检查记录表中，同时录入海南省妇幼健康服务管理信息系统。</t>
  </si>
  <si>
    <t>访视一次35元，包括健康体检及指导（20元），口腔指导和保健（15元）。全年新生儿约1.2万人，目标覆盖率达到90%。</t>
  </si>
  <si>
    <t>4.3</t>
  </si>
  <si>
    <t>婴幼儿健康管理</t>
  </si>
  <si>
    <t>满月后的随访服务在乡镇卫生院、社区卫生服务中心进行，偏远地区可在村卫生室、社区卫生服务站进行，时间分别在3、6、8、12、18、24、30、36月龄时，共8次。服务内容包括询问上次随访到本次随访之间的婴幼儿喂养、患病等情况，进行体格检查，做生长发育和心理行为发育评估，进行母乳喂养、辅食添加、心理行为发育、意外伤害预防、口腔保健、中医保健、常见疾病防治等健康指导。在婴幼儿6～8、18、30月龄时分别进行1次血常规检测。在每次进行预防接种前均要检查有无禁忌症，若无，体检结束后接受疫苗接种。检查结果填写在儿童健康检查记录表中，同时录入海南省妇幼健康服务管理信息系统。</t>
  </si>
  <si>
    <t>3月龄时进行1次随访，每次35元，包括体检及指导（20元），口腔指导和保健（15元）。全年目标人群约1.2万人，目标覆盖率达到90%。</t>
  </si>
  <si>
    <t>8、18、30月龄时分别进行1次，每次50元，包括血常规（15元），肢体体检及指导（20元）、口腔指导和保健（15元）。全年目标人群约1.2万人，目标覆盖率达到90%。</t>
  </si>
  <si>
    <t>6、12、24、36月龄时分别进行1次，每次45元，包括听力筛查（10元），体检及指导（20元），口腔指导和保健（15元）。全年目标人群1.2万人，目标覆盖率达到90%。</t>
  </si>
  <si>
    <t>4.4</t>
  </si>
  <si>
    <t>学龄前儿童健康管理</t>
  </si>
  <si>
    <t>为4～6岁儿童每年提供一次健康管理服务，内容包括询问上次随访到本次随访之间的膳食、患病等情况，进行体格检查，生长发育和心理行为发育评估，血常规检测和视力筛查，进行合理膳食、心理行为发育、意外伤害预防、口腔保健、中医保健、常见疾病防治等健康指导。在每次进行预防接种前均要检查有无禁忌症，若无，体检结束后接受疫苗接种。儿童要在2岁之前开展一次孤独症筛查。检查结果填写在3-6岁儿童健康检查记录表中，同时录入海南省妇幼健康服务管理信息系统。</t>
  </si>
  <si>
    <t>为4-6岁儿童共进行3次健康管理服务，每次80元，包括体检及指导（20元），口腔指导和保健（10元），视力筛查10元、血常规（血红蛋白）(15元)，孤独症筛查（25元）。全年目标人群约3万人，目标覆盖率达到90%。</t>
  </si>
  <si>
    <t>5.预防接种</t>
  </si>
  <si>
    <t>5.1</t>
  </si>
  <si>
    <t>预防接种管理</t>
  </si>
  <si>
    <t>为辖区内0-6岁儿童建立预防接种证和接种卡等儿童预防接种档案，并通过预约、通知单、电话、手机短信、网络、广播通知等方式，通知儿童监护人，告知接种疫苗的种类、时间、地点和相关要求，每半年对责任区内儿童的预防接种卡、证进行1次核查和整理。</t>
  </si>
  <si>
    <t>每年管理一个儿童25元，包括通讯费（通知、随访）、冷链管理费、交通费等（流动人口、农村偏远人口）通知单、告知单、底单、办理预防接种证卡以及对儿童的追踪随访、入户、相关部门协作费等。全市0-6岁儿童共约8.3万人，目标覆盖率达到100%。</t>
  </si>
  <si>
    <t>独立承担。</t>
  </si>
  <si>
    <t>不承担。</t>
  </si>
  <si>
    <r>
      <rPr>
        <b/>
        <sz val="10"/>
        <rFont val="仿宋_GB2312"/>
        <charset val="134"/>
      </rPr>
      <t>数量指标：</t>
    </r>
    <r>
      <rPr>
        <sz val="10"/>
        <rFont val="仿宋_GB2312"/>
        <charset val="134"/>
      </rPr>
      <t xml:space="preserve">
1.建证率。年度辖区内已建立预防接种证人数/年度辖区内应建立预防接种证人数×100%。（90%）
2.某种疫苗接种率=年度辖区内某种疫苗实际接种人数/年度辖区内某种疫苗应接种人数×100%。（90%）</t>
    </r>
  </si>
  <si>
    <t>5.2</t>
  </si>
  <si>
    <t>预防接种</t>
  </si>
  <si>
    <t>万针次</t>
  </si>
  <si>
    <t>根据国家免疫规划疫苗免疫程序，对辖区所有居住满3个月的0～6岁儿童进行常规接种，对重点人群有针对性的进行预防接种，包括通知、组织及接种实施和登记等。
按照有关要求发现、报告预防接种中的疑似异常反应。按要求定时完成冰箱温度登记，保证冷链正常运转。</t>
  </si>
  <si>
    <t>1.每针次接种费16元。每个儿童6年内共接种22针次，0-6岁儿童共约8.3万人，平均每年需接种22*8.3/6=30.43万针次。目标覆盖率达到100%。
2.通知、组织及接种实施和登记等，按照有关要求发现、报告预防接种中疑似异常反应，每人次1元。
3.冷链管理1元。按要求定时完成冰箱温度登记，确保冷链正常运转。</t>
  </si>
  <si>
    <t>预防接种异常反应处理</t>
  </si>
  <si>
    <t>6.老年人健康管理</t>
  </si>
  <si>
    <t>6.1</t>
  </si>
  <si>
    <t>老年人生活方式和健康状况评估</t>
  </si>
  <si>
    <t>通过问诊及老年人健康状态自评了解其基本健康状况、体育锻炼、饮食、吸烟、饮酒、慢性疾病常见症状、既往所患疾病、治疗及目前用药和生活自理能力等情况。每年1次。将信息填写在老年人健康档案中。</t>
  </si>
  <si>
    <t>1.每年1次，10元/人次，包括人力成本和咨询记录（5元）、资料录入（5元）。
2.按65岁以上老年人占总人群的7.31%估算，全年目标人群约7.72万人（即105.61*7.31%），目标覆盖率保持在65%。</t>
  </si>
  <si>
    <t>分别承担。
印制有关纸质材料，按照规范开展老年人体检工作，审核并出具体检报告，进行体检结果反馈。及时上传或录入至电子信息系统。</t>
  </si>
  <si>
    <t>分别承担。
建立辖区老年人管理底册。开展体检组织、宣传、发动工作，协助家庭医生团队长做好体检报告反馈工作。开展健康教育和档案开放查询指导。</t>
  </si>
  <si>
    <r>
      <rPr>
        <b/>
        <sz val="10"/>
        <rFont val="仿宋_GB2312"/>
        <charset val="134"/>
      </rPr>
      <t>1.数量质量指标：</t>
    </r>
    <r>
      <rPr>
        <sz val="10"/>
        <rFont val="仿宋_GB2312"/>
        <charset val="134"/>
      </rPr>
      <t xml:space="preserve">
65岁及以上老年人城乡社区规范健康管理服务率=65岁及以上老年人城乡社区规范健康管理服务人数/年内辖区内65岁及以上常住居民数×100%。（65%）
注：接受健康管理是指建立了健康档案、接受了健康体检、健康指导、健康体检表填写完整。
2.</t>
    </r>
    <r>
      <rPr>
        <b/>
        <sz val="10"/>
        <rFont val="仿宋_GB2312"/>
        <charset val="134"/>
      </rPr>
      <t>数量指标：</t>
    </r>
    <r>
      <rPr>
        <sz val="10"/>
        <rFont val="仿宋_GB2312"/>
        <charset val="134"/>
      </rPr>
      <t xml:space="preserve">
65岁及以上老年人签约率=年度内签约家庭医生的老年人数/年内辖区内65岁及以上常住居民数×100%。（65%）</t>
    </r>
  </si>
  <si>
    <t>6.2</t>
  </si>
  <si>
    <t>体格检查</t>
  </si>
  <si>
    <t>包括体温、脉搏、呼吸、血压、身高、体重、腰围、皮肤、浅表淋巴结、心脏、肺部、腹部等常规体格检查，并对口腔、视力、听力和运动功能等进行粗测判断。每年1次。将检查结果填写在老年人健康档案中。</t>
  </si>
  <si>
    <t>每年1次，30元/人次，包括常规体格检查、一次性耗材等，全年目标人群约7.72万人，目标覆盖率保持在65%。</t>
  </si>
  <si>
    <t>6.3</t>
  </si>
  <si>
    <t>辅助检查</t>
  </si>
  <si>
    <t>1.包括血常规、尿常规、肝功能（血清谷草转氨酶、血清谷丙转氨酶和总胆红素）、肾功能（血清肌酐和血尿素氮）、空腹血糖、心电图检测和腹部黑白B超检查。每年1次。将检查结果填写在老年人健康档案中。</t>
  </si>
  <si>
    <t>每年1次，包括人力成本、体检人员早餐（5元），血常规（15元）、尿常规（15元）、肝功能（血清谷草转氨酶、血清谷丙转氨酶、白蛋白、总胆红素、直接胆红素）（30元）、肾功能（血清肌酐和血尿素氮、）（20元）、空腹血糖（10元）、血尿酸15元、心电图检测（20元）、血脂（30元）和腹部彩超检查（70元），共230元/人次，全年目标人群约每年1次，230元/人次，包括常规体格检查、一次性耗材等，全年目标人群约7.72万人目标覆盖率保持在65%。（统筹结余资金使用，或各项目间统筹。）</t>
  </si>
  <si>
    <t>6.4</t>
  </si>
  <si>
    <t>健康指导</t>
  </si>
  <si>
    <t>有针对地开展疾病预防、自我保健及伤害预防、自救等健康指导。每年1次。</t>
  </si>
  <si>
    <t>每年1次，包括个体化健康指导，10元/人次，全年目标人群约7.72万人，目标覆盖率保持在65%。</t>
  </si>
  <si>
    <t>7.1高血压
患者健康管理</t>
  </si>
  <si>
    <t>7.1.1高血压筛查</t>
  </si>
  <si>
    <t>对辖区内35岁以上常住居民进行血压测量，对高危人群进行健康指导，对确诊患者进行登记管理。</t>
  </si>
  <si>
    <t>2023年高血压患者健康管理率达40%以上，全年目标人群约6万人，35岁及以上人群占比按照51.32%测算.筛查经费5元/人、骨干医师入户指导5元/人。</t>
  </si>
  <si>
    <t>为辅承担。
协助乡医筛查，对高血压患者建档并定期维护，控制不满意患者进行管理和转诊；指导和协助乡医开展“2+3”高血压防治分级服务。</t>
  </si>
  <si>
    <t>为主承担。
开展年度体检和季度随访工作，及时录入电子信息系统。开展健康教育指导。</t>
  </si>
  <si>
    <t>1.对辖区内35岁及以上常住居民，每年为其免费测量一次血压。对发现的高危人群进行生活方式指导，建议其每半年测量一次血压。
2.对确诊的高血压患者及时纳入管理。对确诊的高血压患者进行规范管理，每季度进行至少1次面对面随访，全年进行1次健康检查。对血压控制不满意患者按照规范及时调整药物和增加随访次数。对急危患者和连续两次控制不满意患者及时转诊，并进行追踪管理。
3.对所有患者进行有针对性的健康教育，教授自测血压技能。
4.对签约的高血压患者按照服务协议完成基本医疗服务。</t>
  </si>
  <si>
    <t>1.对一级团队上转的患者及时进行治疗和参与健康管理。
2.开展“2+3”高血压防治分级服务，落实“三级协同”工作职责，定期对家庭医生一级团队进行指导，开展下乡巡诊和入户巡防工作。
3.对一级团队开展业务指导和协同服务支持。</t>
  </si>
  <si>
    <t>1.对二级团队上转的患者及时进行治疗和参与健康管理。需要时预约床位和大型设备检查。
2.开展“2+3”高血压防治分级服务，落实“三级协同”工作职责，定期对家庭医生一级团队进行指导，开展下乡巡诊和入户巡防工作。
2.对一二级团队开展业务指导和协同服务支持。</t>
  </si>
  <si>
    <r>
      <rPr>
        <b/>
        <sz val="10"/>
        <rFont val="仿宋_GB2312"/>
        <charset val="134"/>
      </rPr>
      <t>1.数量指标：</t>
    </r>
    <r>
      <rPr>
        <sz val="10"/>
        <rFont val="仿宋_GB2312"/>
        <charset val="134"/>
      </rPr>
      <t xml:space="preserve">
目标完成率=年内管理的高血压患者人数/年内应管理的高血压患者人数×100%。（100%）
</t>
    </r>
    <r>
      <rPr>
        <b/>
        <sz val="10"/>
        <rFont val="仿宋_GB2312"/>
        <charset val="134"/>
      </rPr>
      <t>2.质量指标：</t>
    </r>
    <r>
      <rPr>
        <sz val="10"/>
        <rFont val="仿宋_GB2312"/>
        <charset val="134"/>
      </rPr>
      <t xml:space="preserve">
高血压患者基层规范管理服务率=在基层医疗机构按照规范提供高血压患者健康管理服务的人数/年内辖区内已管理的高血压患者人数×100%。（75%）
</t>
    </r>
    <r>
      <rPr>
        <b/>
        <sz val="10"/>
        <rFont val="仿宋_GB2312"/>
        <charset val="134"/>
      </rPr>
      <t>3.效果指标：</t>
    </r>
    <r>
      <rPr>
        <sz val="10"/>
        <rFont val="仿宋_GB2312"/>
        <charset val="134"/>
      </rPr>
      <t xml:space="preserve">
血压控制率=年内最近一次随访血压达标人数/年内已管理的高血压患者人数×100%。（45%）
</t>
    </r>
    <r>
      <rPr>
        <b/>
        <sz val="10"/>
        <rFont val="仿宋_GB2312"/>
        <charset val="134"/>
      </rPr>
      <t>探索指标：</t>
    </r>
    <r>
      <rPr>
        <sz val="10"/>
        <rFont val="仿宋_GB2312"/>
        <charset val="134"/>
      </rPr>
      <t xml:space="preserve">
1.35岁及以上居民血压筛查率=辖区内35岁及以上人群年内测血压人数/辖区内35岁及以上常住居民总数。</t>
    </r>
  </si>
  <si>
    <t>7.1.2随访评估</t>
  </si>
  <si>
    <t>7.1.2.1.1</t>
  </si>
  <si>
    <t>未分层或低危随访</t>
  </si>
  <si>
    <t>对血压控制满意（一般高血压患者血压降至140/90mmHg以下；≥65岁老年高血压患者的血压降至150/90mmHg以下，如果能耐受，可进一步降至140/90mmHg以下；一般糖尿病或慢性肾脏病患者的血压目标可以在140/90mmHg基础上再适当降低）、无药物不良反应、无新发并发症或原有并发症无加重的患者，预约下一次随访时间。</t>
  </si>
  <si>
    <t>高血压低危管理目标人群暂按照应规范管理人数的60%测算；高血压中危管理目标人群暂按照应规范管理人数的30%测算；高血压高危管理目标人群暂按照应规范管理人数的10%测算。高血压患者每年随访4次。</t>
  </si>
  <si>
    <t>7.1.2.1.2</t>
  </si>
  <si>
    <t>中危随访</t>
  </si>
  <si>
    <t>对第一次出现血压控制不满意，或出现药物不良反应的患者，结合其服药依从性，必要时增加现用药物剂量、更换或增加不同类的降压药物，2周内随访。</t>
  </si>
  <si>
    <t>7.1.2.1.3</t>
  </si>
  <si>
    <t>高危随访</t>
  </si>
  <si>
    <t>对连续两次出现血压控制不满意或药物不良反应难以控制以及出现新的并发症或原有并发症加重的患者，建议其转诊到上级医院，2周内主动随访转诊情况。</t>
  </si>
  <si>
    <t>7.1.3健康体检</t>
  </si>
  <si>
    <t>每年进行1次较全面的健康检查。内容包括体温、脉搏、呼吸、血压、身高、体重、腰围、皮肤、浅表淋巴结、心脏、肺部、腹部等常规体格检查，并对口腔、视力、听力和运动功能等进行判断。</t>
  </si>
  <si>
    <t>每年1次，每次40元，包括人力成本，通讯、一次性耗材、常规体格检查，指导和健康教育和血糖检查等，全年目标人群约4.4376万人。</t>
  </si>
  <si>
    <t>7.2.糖尿病
患者健康管理</t>
  </si>
  <si>
    <t>7.2.1血糖筛查</t>
  </si>
  <si>
    <t>对辖区内35岁以上常住居民进行指尖测量，对高危人群进行健康指导，对确诊患者进行登记管理。</t>
  </si>
  <si>
    <t xml:space="preserve">2023年糖尿病患者健康管理率达35%以上，全年目标人群约3.2038万人，空腹血糖测量5元/次、筛查经费5元/次、骨干医师入户指导5元/次。35岁及以上人群占比按照51.32%测算。
</t>
  </si>
  <si>
    <t>为辅承担。
协助乡医筛查，对筛查疑似糖尿病患者进行诊断，对确诊糖尿病患者建档并定期维护，控制不满意患者进行管理和转诊；指导和协助乡医开展“2+3”糖尿病防治分级服务。</t>
  </si>
  <si>
    <t>1.对确诊的糖尿病患者及时纳入管理。
2.对确诊的糖尿病患者进行规范管理，每季度进行至少1次面对面随访，全年进行1次健康检查。对血压血糖控制不满意患者按照规范及时调整药物和增加随访次数。对急危患者和连续两次控制不满意患者及时转诊，并进行追踪管理。
3.对所有患者进行有针对性的健康教育，教授自测血压血糖技能。
4.对签约的糖尿病患者按照服务协议完成基本医疗服务。</t>
  </si>
  <si>
    <t>1.对一级团队上转的患者及时进行治疗和参与健康管理。
2.开展“2+3”糖尿病防治分级服务，落实“三级协同”工作职责，定期对家庭医生一级团队进行指导，开展下乡巡诊和入户巡防工作。
3.对一级团队开展业务指导和协同服务支持。</t>
  </si>
  <si>
    <t>1.对二级团队上转的患者及时进行治疗和参与健康管理。需要时预约床位和大型设备检查。
2.开展“2+3”糖尿病防治分级服务，落实“三级协同”工作职责，定期对家庭医生一级团队进行指导，开展下乡巡诊和入户巡防工作。
2.对一二级团队开展业务指导和协同服务支持。</t>
  </si>
  <si>
    <r>
      <rPr>
        <b/>
        <sz val="10"/>
        <rFont val="仿宋_GB2312"/>
        <charset val="134"/>
      </rPr>
      <t xml:space="preserve">1.数量指标：
</t>
    </r>
    <r>
      <rPr>
        <sz val="10"/>
        <rFont val="仿宋_GB2312"/>
        <charset val="134"/>
      </rPr>
      <t>目标完成率=年内管理的糖尿病患者人数/年内应管理的糖尿病患者人数×100%。（100%）</t>
    </r>
    <r>
      <rPr>
        <b/>
        <sz val="10"/>
        <rFont val="仿宋_GB2312"/>
        <charset val="134"/>
      </rPr>
      <t xml:space="preserve">
2.质量指标：
</t>
    </r>
    <r>
      <rPr>
        <sz val="10"/>
        <rFont val="仿宋_GB2312"/>
        <charset val="134"/>
      </rPr>
      <t>糖尿病患者基层规范管理服务率=在基层医疗机构按照规范提供糖尿病患者健康管理服务的人数/年内辖区内已管理的糖尿病患者人数×100%。（75%）</t>
    </r>
    <r>
      <rPr>
        <b/>
        <sz val="10"/>
        <rFont val="仿宋_GB2312"/>
        <charset val="134"/>
      </rPr>
      <t xml:space="preserve">
3.效果指标：
</t>
    </r>
    <r>
      <rPr>
        <sz val="10"/>
        <rFont val="仿宋_GB2312"/>
        <charset val="134"/>
      </rPr>
      <t>血糖控制率=年内最近一次随访血糖达标人数/年内已管理的高血糖患者人数×100%。（35%）</t>
    </r>
    <r>
      <rPr>
        <b/>
        <sz val="10"/>
        <rFont val="仿宋_GB2312"/>
        <charset val="134"/>
      </rPr>
      <t xml:space="preserve">
高危人群管理指标：
</t>
    </r>
    <r>
      <rPr>
        <sz val="10"/>
        <rFont val="仿宋_GB2312"/>
        <charset val="134"/>
      </rPr>
      <t>1.35岁及以上居民血糖筛查率=辖区内35岁及以上人群年内测指尖血糖人数/辖区内35岁及以上常住居民总数。</t>
    </r>
  </si>
  <si>
    <t>7.2.2
随访评估</t>
  </si>
  <si>
    <t>7.2.2.1.1</t>
  </si>
  <si>
    <t>未分层或低危随访
（以空腹或随机血糖值为判断标准）</t>
  </si>
  <si>
    <t>对血糖控制满意（空腹血糖值&lt;7.0mmol/L或随机血糖&lt;10.0mmol/L），无药物不良反应、无新发并发症或原有并发症无加重的患者，预约进行下一次随访。</t>
  </si>
  <si>
    <t>糖尿病低危管理目标人群暂按照应规范管理人数的60%测算；糖尿病中危管理目标人群暂按照应规范管理人数的30%测算；糖尿病高危管理目标人群暂按照应规范管理人数的10%测算。糖尿病患者每年随访4次。</t>
  </si>
  <si>
    <t>7.2.2.1.2</t>
  </si>
  <si>
    <t>中危随访
（以空腹或随机血糖值为判断标准）</t>
  </si>
  <si>
    <t>对第一次出现空腹血糖控制不满意（空腹血糖值≥7.0mmol/L或随机血糖≥10.0mmol/L）或药物不良反应的患者，结合其服药依从情况进行指导，必要时增加现有药物剂量、更换或增加不同类的降糖药物，2周内随访。</t>
  </si>
  <si>
    <t>7.2.2.1.3</t>
  </si>
  <si>
    <t>高危随访
（以空腹或随机血糖值为判断标准）</t>
  </si>
  <si>
    <t>对连续两次出现空腹血糖控制不满意或药物不良反应难以控制以及出现新的并发症或原有并发症加重的患者，建议其转诊到上级医院，2周内主动随访转诊情况。</t>
  </si>
  <si>
    <t>7.2.3健康体检</t>
  </si>
  <si>
    <t>每年1次，40元/人次，包括人力成本，通讯、一次性耗材、常规体格检查，指导和健康教育等，全年目标人群约2.4062万人。</t>
  </si>
  <si>
    <t>8.严重精神障碍
患者管理</t>
  </si>
  <si>
    <t>8.1</t>
  </si>
  <si>
    <t>患者信息管理</t>
  </si>
  <si>
    <t>1.对新纳入管理患者进行疾病诊断、诊疗相关信息核实。
2.开展患者全面评估，建立居民健康档案，按照要求填写严重精神障碍患者个人信息补充表。</t>
  </si>
  <si>
    <t>1.含人力、材料费、通讯费、交通费、实验室检查、数据采集和更新、督导、培训等成本。
2.年度任务目标测算数量按照当年中央区域绩效目标表和发病率，结合工作实际制定。
3.心电图和实验室检查经费标准参照一级医院收费标准制定。
4.严重精神障碍发病率按照千分之四点八测算。</t>
  </si>
  <si>
    <t>分别承担。
按照规范开展患者体检工作，审核并出具体检报告，进行体检结果反馈。及时上传或录入至电子信息系统。</t>
  </si>
  <si>
    <t>分别承担。
建立辖区患者管理底册。开展体检组织、宣传、发动工作。开展健康教育和档案开放查询指导。。</t>
  </si>
  <si>
    <r>
      <t>1.数量指标：</t>
    </r>
    <r>
      <rPr>
        <sz val="10"/>
        <rFont val="仿宋_GB2312"/>
        <charset val="134"/>
      </rPr>
      <t xml:space="preserve">
社区在册居家严重精神障碍患者健康管理率=社区在册居家严重精神障碍患者健康管理人数/辖区内登记在册的确诊严重精神障碍患者人数×100%。（80%）
</t>
    </r>
    <r>
      <rPr>
        <b/>
        <sz val="10"/>
        <rFont val="仿宋_GB2312"/>
        <charset val="134"/>
      </rPr>
      <t>2.质量指标：</t>
    </r>
    <r>
      <rPr>
        <sz val="10"/>
        <rFont val="仿宋_GB2312"/>
        <charset val="134"/>
      </rPr>
      <t xml:space="preserve">
严重精神障碍患者规范管理率=年内辖区内按照规范要求进行管理的严重精神障碍患者人数/年内辖区内登记在册的确诊严重精神障碍患者人数×100%。（80%）
</t>
    </r>
    <r>
      <rPr>
        <b/>
        <sz val="10"/>
        <rFont val="仿宋_GB2312"/>
        <charset val="134"/>
      </rPr>
      <t>参考指标：</t>
    </r>
    <r>
      <rPr>
        <sz val="10"/>
        <rFont val="仿宋_GB2312"/>
        <charset val="134"/>
      </rPr>
      <t xml:space="preserve">
报告患病率5‰，在册患者规范管理率93%， 规律服药率80%，精神分裂症患者服药率80% 。</t>
    </r>
  </si>
  <si>
    <t>8.2</t>
  </si>
  <si>
    <t>随访评估和分类干预</t>
  </si>
  <si>
    <t>1.对应管理的严重精神障碍患者每年至少随访4次，每次随访对患者进行危险性评估；检查患者的精神状况，包括感觉、知觉、思维、情感和意志行为、自知力等；询问和评估患者的躯体疾病、社会功能情况、服药情况及各项实验室检查结果等。
2.根据患者的危险性评估分级、社会功能情况、精神症状评估、自知力判断，以及患者是否存在药物不良反应或躯体疾病情况对患者进行分类干预，按照服务规范要求进行相应频次随访。</t>
  </si>
  <si>
    <t>8.3</t>
  </si>
  <si>
    <t>体检组织发动和项目宣传</t>
  </si>
  <si>
    <t>开展项目宣传，对患者家属进行体检组织和发动，使更多患者愿意接受服务。</t>
  </si>
  <si>
    <t>8.4</t>
  </si>
  <si>
    <t>健康体检</t>
  </si>
  <si>
    <t>每年进行1次健康检查，包括一般体格检查、血压、体重、血常规(含白细胞分类)、转氨酶、血糖、心电图。</t>
  </si>
  <si>
    <t>8.5</t>
  </si>
  <si>
    <t>体检和随访信息反馈、开放查询（含家属/监护人一对一个性化健康教育和项目宣传）</t>
  </si>
  <si>
    <t>1.每次服务后面对面反馈体检结果，并进行健康指导。
2.通过公众号、APP等对档案和体检结果进行公开。
3.对患者及其家属进行有针对性的健康教育和生活技能训练等方面的康复指导，对家属提供心理支持和帮助。
4.鼓励和帮助病人进行生活功能康复训练，指导患者参与社会活动，接受职业训练。</t>
  </si>
  <si>
    <t>9.肺结核患者
健康管理</t>
  </si>
  <si>
    <t>9.1</t>
  </si>
  <si>
    <t>筛查及推介转诊</t>
  </si>
  <si>
    <t>对辖区内前来就诊的居民或患者，尤其是65岁以上老年人和糖尿病患者等结核病重点人群开展筛查，如发现有慢性咳嗽、咳痰≥2周，咯血、血痰，或发热、盗汗、胸痛或不明原因消瘦等肺结核可疑症状者，在鉴别诊断的基础上，填写“双向转诊单”，推荐其到结核病定点医疗机构进行结核病检查。1周内进行电话随访，了解是否前去就诊，督促其及时就医。</t>
  </si>
  <si>
    <t>1.含人力、材料费、通讯费、交通费、数据采集和更新、一次性物品消耗、与相关部门的协作、培训、指导费用等。
2.管理数量测算结合往年工作实际参考制定。
3.肺结核发病率按照万分之七测算。</t>
  </si>
  <si>
    <t>为辅承担。
指导卫生室开展结核患者管理。</t>
  </si>
  <si>
    <t>为主承担。
建立辖区结核患者管理台账，建立健康档案并督导服药，及时录入电子信息系统。开展患者及家属健康教育。</t>
  </si>
  <si>
    <r>
      <rPr>
        <b/>
        <sz val="10"/>
        <rFont val="仿宋_GB2312"/>
        <charset val="134"/>
      </rPr>
      <t>1.数量指标：</t>
    </r>
    <r>
      <rPr>
        <sz val="10"/>
        <rFont val="仿宋_GB2312"/>
        <charset val="134"/>
      </rPr>
      <t xml:space="preserve">
肺结核患者管理率=已管理的肺结核患者人数/辖区同期内静上级定点医疗机构确诊并通知基层医疗机构管理的肺结核患者人数×100%。（90%）
</t>
    </r>
    <r>
      <rPr>
        <b/>
        <sz val="10"/>
        <rFont val="仿宋_GB2312"/>
        <charset val="134"/>
      </rPr>
      <t>2.质量指标：</t>
    </r>
    <r>
      <rPr>
        <sz val="10"/>
        <rFont val="仿宋_GB2312"/>
        <charset val="134"/>
      </rPr>
      <t xml:space="preserve">
肺结核患者规则服药率=按照要求规则服药的肺结核患者人数/同期辖区内已完成治疗的肺结核患者人数×100%。（90%）</t>
    </r>
  </si>
  <si>
    <t>9.2</t>
  </si>
  <si>
    <t>结核病患者建立档案</t>
  </si>
  <si>
    <t>1.接到上级专业机构管理肺结核患者的通知单后，在72小时内访视患者。确定督导人员，对患者的居住环境进行评估，患者出现病情加重、严重不良反应、并发症等异常情况时，及时就诊。
2.对患者及家属进行结核病防治知识宣传教育；告诉患者及家属做好防护工作，防止传染。</t>
  </si>
  <si>
    <t>9.3</t>
  </si>
  <si>
    <t>患者随访管理（普通患者）</t>
  </si>
  <si>
    <t>1.每日督导服药。每次访视后均要将访视情况录入信息管理系统。
2.对于由医务人员督导的患者，医务人员至少每月记录1次对患者的随访评估结果；对于由家庭成员督导的患者，基层医疗卫生机构要在患者的强化期或注射期内每10天随访1次，继续期或非注射期内每1个月随访1次。
3.对出现药物不良反应、并发症或合并症的患者，要立即转诊，2周内随访。
4.患者停止抗结核治疗后，对其进行结案评估，包括：记录患者停止治疗的时间及原因；对其全程服药管理情况进行评估；收集和上报患者的“肺结核患者治疗记录卡”或“耐多药肺结核患者服药卡”。
5.将患者转诊至结核病定点医疗机构进行治疗转归评估，2周内进行电话随访，落实是否前去就诊及确诊结果。</t>
  </si>
  <si>
    <t>9.4</t>
  </si>
  <si>
    <t>耐药肺结核患者管理</t>
  </si>
  <si>
    <t>1、省结核病医院将出院耐药患者信息录入结核病管理云平台通知属地管理机构（疾控/基层管理机构/定点医院）进行管理，每个月将每例耐药患者复诊信息录入信息管理系统，50元/月例。
2、每日督导服药参照非耐药患者管理。耐多药患者注射期和非注射期或非注射剂方案治疗患者督导管理费每月平均300元。</t>
  </si>
  <si>
    <t>10.中医药
健康管理</t>
  </si>
  <si>
    <t>10.1</t>
  </si>
  <si>
    <t>老年人中医体质辨识</t>
  </si>
  <si>
    <t>每年为老年人做1次中医体质辨识，保健指导和强化保健意识。根据不同体质进行个性化养生保健知识、常见疾病等中医健康指导。</t>
  </si>
  <si>
    <t>1.通过问卷进行体质辨识评估，每人次20-30分钟，每人次20元；2.对老年人从情志调摄、饮食调养、起居调摄、运动保健、穴位保健等方面进行指导，每人次20元；目标覆盖率保持在70%。</t>
  </si>
  <si>
    <t>为辅承担。
印制有关纸质材料，指导卫生室开展中医辨识工作。</t>
  </si>
  <si>
    <t>为主承担。
开展中医辨识，进行中医保健指导，及时录入电子信息系统。</t>
  </si>
  <si>
    <r>
      <rPr>
        <b/>
        <sz val="10"/>
        <rFont val="仿宋_GB2312"/>
        <charset val="134"/>
      </rPr>
      <t>数量指标：</t>
    </r>
    <r>
      <rPr>
        <sz val="10"/>
        <rFont val="仿宋_GB2312"/>
        <charset val="134"/>
      </rPr>
      <t xml:space="preserve">
1.老年人中医药健康管理率=年内接收中医药健康管理服务的65岁及以上居民数/年内辖区内65岁及以上常住居民数×100%。（70%）
2.0-36个月儿童中医药健康管理服务率=年度辖区内按照月龄接受中医药健康管理服务的0-6岁儿童数/年内辖区内应管理的0-36个月儿童数×100%。（77%）</t>
    </r>
  </si>
  <si>
    <t>10.2</t>
  </si>
  <si>
    <t>儿童中医调养</t>
  </si>
  <si>
    <t>在儿童6、12、18、24、30、36月龄时进行中医调养，包括饮食起居和捏脊穴位按摩等指导。</t>
  </si>
  <si>
    <t>6、12、18、24、30、36月龄分别进行1次，每次35元，包括饮食、起居和捏脊等穴位按摩的综合指导，目标覆盖率达到77%。</t>
  </si>
  <si>
    <t>11.传染病及突发公共卫生事件
报告和处理(含新冠疫情处置)</t>
  </si>
  <si>
    <t>市级医疗卫生机构</t>
  </si>
  <si>
    <t>5元/病例数/事件数，6元/次达标（完整率），10元/次参与流调或密接管理、样本处理等</t>
  </si>
  <si>
    <t>社区卫生服务中心\家农场医院和乡镇卫生院</t>
  </si>
  <si>
    <t>1.传染病疫情和突发公共卫生事件风险管理：在疾病预防控制机构和其他专业机构指导下，协助开展传染病疫情和突发公共卫生事件风险排查、收集和提供风险信息，参与风险评估和应急预案制（修）订。2.传染病和突发公共卫生事件的发现和登记：规范填写门诊日志、入/出院登记本、X线检查和实验室检测结果登记本。首诊医生在诊疗过程中发现传染病病人及疑似病人后，按要求填写《中华人民共和国传染病报告卡》；如发现或怀疑为突发公共卫生事件时，按要求填写《突发公共卫生事件相关信息报告卡》。3.传染病和突发公共卫生事件相关信息报告：按照规定的报告程序和方式，在报告时限内报告有关信息。4.传染病和突发公共卫生事件的处理。包括病人医疗救治和管理传染病密切接触者和健康危害暴露人员的管理和宣传教育等。</t>
  </si>
  <si>
    <t>4家社区卫生服务中心、16家卫生院，每家20000元，包括疫情报告和监测费、表格印刷、上报登记、相关耗材（消毒口罩、消毒剂等）、指导、随访所需交通通讯费等。网络直报系统宽带及维护费（软件升级、系统更新、数据转换、耗材等）。发热门诊、隔离病房的沙门沙窗设置及高危环境的环境消毒。</t>
  </si>
  <si>
    <t>分别承担。
印制有关纸质材料，开展业务培训，承担相关耗材等费用。开展应急接种和信息上报等工作。</t>
  </si>
  <si>
    <t>分别承担。
参与患者追踪管理、筛查等工作；开展健康教育；协助开展传染病和突发公共卫生事件处置工作。</t>
  </si>
  <si>
    <r>
      <rPr>
        <b/>
        <sz val="10"/>
        <rFont val="仿宋_GB2312"/>
        <charset val="134"/>
      </rPr>
      <t>数量指标：</t>
    </r>
    <r>
      <rPr>
        <sz val="10"/>
        <rFont val="仿宋_GB2312"/>
        <charset val="134"/>
      </rPr>
      <t xml:space="preserve">
1.传染病报告率=网络报告的传染病病例数/登记传染病病例数×100%。（95%）
2.突发公共卫生事件相关信息及时报告率=及时报告的突发公共卫生事件相关信息数/报告突发公共卫生事件相关信息数×100%。（100%）
</t>
    </r>
    <r>
      <rPr>
        <b/>
        <sz val="10"/>
        <rFont val="仿宋_GB2312"/>
        <charset val="134"/>
      </rPr>
      <t>质量指标：</t>
    </r>
    <r>
      <rPr>
        <sz val="10"/>
        <rFont val="仿宋_GB2312"/>
        <charset val="134"/>
      </rPr>
      <t xml:space="preserve">
传染病报告及时率=报告及时的病例数/报告传染病病例数×100%。（100%）</t>
    </r>
  </si>
  <si>
    <t>社区卫生服务站(市管）</t>
  </si>
  <si>
    <t>1家市管社区卫生服务站，每家3500元，包括疫情报告和监测费、表格印刷、上报登记、相关耗材（消毒口罩、消毒剂等）、指导、随访所需交通通讯费等。网络直报系统宽带及维护费（软件升级、系统更新、数据转换、耗材等）。</t>
  </si>
  <si>
    <t>村卫生室</t>
  </si>
  <si>
    <t>20家卫生院下辖社区服务站、94家村卫生室，每家3000元，包括疫情报告和监测费、表格印刷、上报等级、相关耗材（消毒口罩、消毒剂等）、指导、随访所需交通通讯费等。网络直报系统宽带及维护费（软件升级、系统更新、数据转换、耗材等）。</t>
  </si>
  <si>
    <t>12.卫生监督协管</t>
  </si>
  <si>
    <t>10元/巡查次数</t>
  </si>
  <si>
    <t>1.食源性疾病及相关信息报告：发现或怀疑有食源性疾病、食品污染等对人体健康造成危害或可能造成危害的线索或事件及时报告。2.饮用水卫生安全巡查：协助对农村集中式供水、城市二次供水和学校供水进行巡查，协助开展居民家庭末梢水抽检服务，发现异常情况及时报告；协助对供水单位从业人员开展业务培训。3.学校卫生服务：协助有关部门定期对学校传染病防控和饮用水安全开展巡访，发现问题隐患及时报告；指导学校设立卫生宣传栏，协助开展学生健康教育。协助有关专业机构对校医（保健教师）开展业务培训。4.非法行医和非法采供血信息报告：定期对辖区内非法行医、非法采供血开展巡访，发现相关信息及时报告。5.计划生育相关信息报告：协助定期对辖区内计划生育机构计划生育工作进行巡查，协助对辖区内与计划生育有关的活动开展巡访，发现有关信息及时报告。6.职业卫生用人单位巡查：巡查辖区内煤矿、非煤矿山、冶金、建材等行业领域的用人单位职业卫生情况，及时报告发现的问题隐患，协助卫生监督执法人员开展职业卫生监督检查和查处违法行为。7.公共场所卫生安全巡查：协助对辖区内的公共场所卫生经营单位进行巡查，协助专项检查，发现违法违规线索时应及时报告。</t>
  </si>
  <si>
    <t>4家社区卫生服务中心、16家卫生院，每家20000元，包括相关表格印刷、装订管理、交通、通讯、样品采集、一次性物品消耗、着装与相关部门的协作以及培训和指导费等。</t>
  </si>
  <si>
    <t>分别承担。
开展辖区日常巡查报告工作。</t>
  </si>
  <si>
    <t>分别承担。
发现问题线索及时报告卫生监督协管员相关信息。</t>
  </si>
  <si>
    <r>
      <rPr>
        <b/>
        <sz val="10"/>
        <rFont val="仿宋_GB2312"/>
        <charset val="134"/>
      </rPr>
      <t>数量指标：</t>
    </r>
    <r>
      <rPr>
        <sz val="10"/>
        <rFont val="仿宋_GB2312"/>
        <charset val="134"/>
      </rPr>
      <t xml:space="preserve">
卫生监督协管信息报告率=报告的事件或线索次数/发现的事件或线索次数。（100%）
</t>
    </r>
    <r>
      <rPr>
        <b/>
        <sz val="10"/>
        <rFont val="仿宋_GB2312"/>
        <charset val="134"/>
      </rPr>
      <t>参考指标：</t>
    </r>
    <r>
      <rPr>
        <sz val="10"/>
        <rFont val="仿宋_GB2312"/>
        <charset val="134"/>
      </rPr>
      <t xml:space="preserve">
职业卫生用人单位每年巡查 （访）2次完成率；公共场所每年巡查 （访）1次完成率；卫生监督协管其他各专业每季度巡查 （访）1次完成率。（95%）。</t>
    </r>
  </si>
  <si>
    <t>社区卫生服务站（市管）</t>
  </si>
  <si>
    <t>1家市管社区卫生服务站，每家8000元，包括相关表格印刷、装订管理、交通、通讯、样品采集、一次性物品消耗、着装与相关部门的协作以及培训和指导费等。</t>
  </si>
  <si>
    <t>20家卫生院下辖社区服务站、94家村卫生室，每家村卫生室3000元，包括相关表格印刷、装订管理、交通、通讯、样品采集、一次性物品消耗、与相关部门的协作以及培训和指导费等。</t>
  </si>
  <si>
    <t>13.开展培训等工作</t>
  </si>
  <si>
    <t>疾控、妇幼、中医、健教、监督等专业公共卫生机构对基层机构开展技能培训、工作督导、信息管理、绩效评价等工作。</t>
  </si>
  <si>
    <t>按照人均0.5元补助标准进行测算，各区可根据实际情况自行调整。服务人口20万人以下的可参考人均1.5-2元、服务人口20—60万人的可参考人均1元、60万人以上可参考人均0.5-0.8元的标准进行测算。</t>
  </si>
  <si>
    <t>14.新增5元</t>
  </si>
  <si>
    <t>支持各市县强化对老年人、儿童的基本公共卫生服务</t>
  </si>
  <si>
    <t>重点支持各区含育才生态区强化对老年人、儿童的基本公共卫生服务。</t>
  </si>
  <si>
    <t>按照人均5元补助标准进行测算，各区（含育才生态区）按照《三亚市基本公共卫生服务补助资金管理实施细则》（三财〔2023〕640号）规定的基本公共卫生服务项目12项规定的人员经费、公用经费有关要求实施。</t>
  </si>
  <si>
    <t xml:space="preserve">合    计
</t>
  </si>
  <si>
    <t>备注：该经费测算为指导意见，各区部分“任务目标值”及“任务目标值或预算管理数量”需结合当地实际制定。</t>
  </si>
</sst>
</file>

<file path=xl/styles.xml><?xml version="1.0" encoding="utf-8"?>
<styleSheet xmlns="http://schemas.openxmlformats.org/spreadsheetml/2006/main">
  <numFmts count="7">
    <numFmt numFmtId="176" formatCode="0.00_);[Red]\(0.00\)"/>
    <numFmt numFmtId="177" formatCode="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8" formatCode="0.00_ "/>
  </numFmts>
  <fonts count="33">
    <font>
      <sz val="12"/>
      <name val="宋体"/>
      <charset val="134"/>
    </font>
    <font>
      <sz val="10"/>
      <name val="黑体"/>
      <charset val="134"/>
    </font>
    <font>
      <sz val="10"/>
      <name val="仿宋_GB2312"/>
      <charset val="134"/>
    </font>
    <font>
      <b/>
      <sz val="12"/>
      <name val="宋体"/>
      <charset val="134"/>
    </font>
    <font>
      <sz val="8"/>
      <name val="宋体"/>
      <charset val="134"/>
    </font>
    <font>
      <sz val="16"/>
      <name val="黑体"/>
      <charset val="134"/>
    </font>
    <font>
      <sz val="16"/>
      <name val="方正小标宋_GBK"/>
      <charset val="134"/>
    </font>
    <font>
      <b/>
      <sz val="10"/>
      <name val="仿宋_GB2312"/>
      <charset val="134"/>
    </font>
    <font>
      <b/>
      <sz val="12"/>
      <name val="仿宋_GB2312"/>
      <charset val="134"/>
    </font>
    <font>
      <sz val="10"/>
      <name val="SimSun"/>
      <charset val="134"/>
    </font>
    <font>
      <b/>
      <sz val="8"/>
      <name val="SimSun"/>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sz val="11"/>
      <color rgb="FF006100"/>
      <name val="宋体"/>
      <charset val="0"/>
      <scheme val="minor"/>
    </font>
    <font>
      <sz val="11"/>
      <color rgb="FFFF0000"/>
      <name val="宋体"/>
      <charset val="0"/>
      <scheme val="minor"/>
    </font>
    <font>
      <u/>
      <sz val="11"/>
      <color rgb="FF800080"/>
      <name val="宋体"/>
      <charset val="0"/>
      <scheme val="minor"/>
    </font>
    <font>
      <sz val="11"/>
      <color theme="1"/>
      <name val="宋体"/>
      <charset val="134"/>
      <scheme val="minor"/>
    </font>
    <font>
      <b/>
      <sz val="13"/>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sz val="11"/>
      <color rgb="FF9C0006"/>
      <name val="宋体"/>
      <charset val="0"/>
      <scheme val="minor"/>
    </font>
    <font>
      <b/>
      <sz val="11"/>
      <color theme="1"/>
      <name val="宋体"/>
      <charset val="0"/>
      <scheme val="minor"/>
    </font>
    <font>
      <b/>
      <sz val="18"/>
      <color theme="3"/>
      <name val="宋体"/>
      <charset val="134"/>
      <scheme val="minor"/>
    </font>
    <font>
      <b/>
      <sz val="11"/>
      <color rgb="FFFFFFFF"/>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b/>
      <sz val="9"/>
      <name val="宋体"/>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theme="9"/>
        <bgColor indexed="64"/>
      </patternFill>
    </fill>
    <fill>
      <patternFill patternType="solid">
        <fgColor rgb="FFC6EFCE"/>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6"/>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5" tint="0.599993896298105"/>
        <bgColor indexed="64"/>
      </patternFill>
    </fill>
  </fills>
  <borders count="24">
    <border>
      <left/>
      <right/>
      <top/>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top/>
      <bottom/>
      <diagonal/>
    </border>
    <border>
      <left/>
      <right style="thin">
        <color auto="true"/>
      </right>
      <top/>
      <bottom/>
      <diagonal/>
    </border>
    <border>
      <left style="thin">
        <color auto="true"/>
      </left>
      <right/>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0" fillId="0" borderId="0">
      <alignment vertical="center"/>
    </xf>
    <xf numFmtId="0" fontId="13" fillId="30"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29" fillId="28" borderId="22" applyNumberFormat="false" applyAlignment="false" applyProtection="false">
      <alignment vertical="center"/>
    </xf>
    <xf numFmtId="0" fontId="12" fillId="29"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44" fontId="19" fillId="0" borderId="0" applyFont="false" applyFill="false" applyBorder="false" applyAlignment="false" applyProtection="false">
      <alignment vertical="center"/>
    </xf>
    <xf numFmtId="0" fontId="13" fillId="27" borderId="0" applyNumberFormat="false" applyBorder="false" applyAlignment="false" applyProtection="false">
      <alignment vertical="center"/>
    </xf>
    <xf numFmtId="9" fontId="19" fillId="0" borderId="0" applyFont="false" applyFill="false" applyBorder="false" applyAlignment="false" applyProtection="false">
      <alignment vertical="center"/>
    </xf>
    <xf numFmtId="0" fontId="13" fillId="21"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28" fillId="25" borderId="22" applyNumberFormat="false" applyAlignment="false" applyProtection="false">
      <alignment vertical="center"/>
    </xf>
    <xf numFmtId="0" fontId="13" fillId="22" borderId="0" applyNumberFormat="false" applyBorder="false" applyAlignment="false" applyProtection="false">
      <alignment vertical="center"/>
    </xf>
    <xf numFmtId="0" fontId="23" fillId="15"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6" fillId="5"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25" fillId="0" borderId="20" applyNumberFormat="false" applyFill="false" applyAlignment="false" applyProtection="false">
      <alignment vertical="center"/>
    </xf>
    <xf numFmtId="0" fontId="24" fillId="16" borderId="0" applyNumberFormat="false" applyBorder="false" applyAlignment="false" applyProtection="false">
      <alignment vertical="center"/>
    </xf>
    <xf numFmtId="0" fontId="27" fillId="23" borderId="21" applyNumberFormat="false" applyAlignment="false" applyProtection="false">
      <alignment vertical="center"/>
    </xf>
    <xf numFmtId="0" fontId="30" fillId="25" borderId="23" applyNumberFormat="false" applyAlignment="false" applyProtection="false">
      <alignment vertical="center"/>
    </xf>
    <xf numFmtId="0" fontId="22" fillId="0" borderId="18"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2" fillId="12"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42" fontId="19" fillId="0" borderId="0" applyFont="false" applyFill="false" applyBorder="false" applyAlignment="false" applyProtection="false">
      <alignment vertical="center"/>
    </xf>
    <xf numFmtId="0" fontId="12" fillId="14" borderId="0" applyNumberFormat="false" applyBorder="false" applyAlignment="false" applyProtection="false">
      <alignment vertical="center"/>
    </xf>
    <xf numFmtId="43" fontId="19"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2" fillId="3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19" fillId="13" borderId="19"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41" fontId="19" fillId="0" borderId="0" applyFont="false" applyFill="false" applyBorder="false" applyAlignment="false" applyProtection="false">
      <alignment vertical="center"/>
    </xf>
    <xf numFmtId="0" fontId="20" fillId="0" borderId="18" applyNumberFormat="false" applyFill="false" applyAlignment="false" applyProtection="false">
      <alignment vertical="center"/>
    </xf>
    <xf numFmtId="0" fontId="12" fillId="20" borderId="0" applyNumberFormat="false" applyBorder="false" applyAlignment="false" applyProtection="false">
      <alignment vertical="center"/>
    </xf>
    <xf numFmtId="0" fontId="14" fillId="0" borderId="17" applyNumberFormat="false" applyFill="false" applyAlignment="false" applyProtection="false">
      <alignment vertical="center"/>
    </xf>
    <xf numFmtId="0" fontId="13"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0" fillId="0" borderId="0">
      <alignment vertical="center"/>
    </xf>
    <xf numFmtId="0" fontId="11" fillId="0" borderId="16" applyNumberFormat="false" applyFill="false" applyAlignment="false" applyProtection="false">
      <alignment vertical="center"/>
    </xf>
  </cellStyleXfs>
  <cellXfs count="90">
    <xf numFmtId="0" fontId="0" fillId="0" borderId="0" xfId="0" applyAlignment="true"/>
    <xf numFmtId="0" fontId="0" fillId="0" borderId="0" xfId="0" applyFont="true" applyFill="true" applyAlignment="true"/>
    <xf numFmtId="0" fontId="1" fillId="0" borderId="0" xfId="0" applyFont="true" applyFill="true" applyAlignment="true">
      <alignment vertical="center" wrapText="true"/>
    </xf>
    <xf numFmtId="0" fontId="1" fillId="0" borderId="0" xfId="0" applyFont="true" applyFill="true" applyAlignment="true">
      <alignment vertical="center"/>
    </xf>
    <xf numFmtId="0" fontId="2" fillId="0" borderId="0" xfId="0" applyFont="true" applyFill="true" applyAlignment="true">
      <alignment vertical="center"/>
    </xf>
    <xf numFmtId="0" fontId="3" fillId="0" borderId="0" xfId="0" applyFont="true" applyFill="true" applyAlignment="true">
      <alignment horizontal="center" vertical="center"/>
    </xf>
    <xf numFmtId="0" fontId="0" fillId="0" borderId="0" xfId="0" applyFont="true" applyFill="true" applyAlignment="true">
      <alignment vertical="center"/>
    </xf>
    <xf numFmtId="0" fontId="0" fillId="0" borderId="0" xfId="0" applyFont="true" applyFill="true" applyAlignment="true">
      <alignment horizontal="center" wrapText="true"/>
    </xf>
    <xf numFmtId="49" fontId="0" fillId="0" borderId="0" xfId="0" applyNumberFormat="true" applyFont="true" applyFill="true" applyAlignment="true">
      <alignment horizontal="center"/>
    </xf>
    <xf numFmtId="10" fontId="0" fillId="0" borderId="0" xfId="0" applyNumberFormat="true" applyFont="true" applyFill="true" applyAlignment="true">
      <alignment horizontal="center" wrapText="true"/>
    </xf>
    <xf numFmtId="0" fontId="0" fillId="0" borderId="0" xfId="0" applyNumberFormat="true" applyFont="true" applyFill="true" applyAlignment="true">
      <alignment horizontal="center" wrapText="true"/>
    </xf>
    <xf numFmtId="177" fontId="0" fillId="0" borderId="0" xfId="0" applyNumberFormat="true" applyFont="true" applyFill="true" applyAlignment="true">
      <alignment horizontal="center" wrapText="true"/>
    </xf>
    <xf numFmtId="178" fontId="0" fillId="0" borderId="0" xfId="0" applyNumberFormat="true" applyFont="true" applyFill="true" applyAlignment="true">
      <alignment horizontal="center" wrapText="true"/>
    </xf>
    <xf numFmtId="176" fontId="0" fillId="0" borderId="0" xfId="0" applyNumberFormat="true" applyFont="true" applyFill="true" applyAlignment="true">
      <alignment horizontal="center" wrapText="true"/>
    </xf>
    <xf numFmtId="0" fontId="4" fillId="0" borderId="0" xfId="0" applyFont="true" applyFill="true" applyAlignment="true">
      <alignment wrapText="true"/>
    </xf>
    <xf numFmtId="0" fontId="5" fillId="0" borderId="0" xfId="0"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49" fontId="1" fillId="0" borderId="2" xfId="0" applyNumberFormat="true"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49" fontId="1" fillId="0" borderId="3" xfId="0" applyNumberFormat="true"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49" fontId="2" fillId="0" borderId="3" xfId="0" applyNumberFormat="true" applyFont="true" applyFill="true" applyBorder="true" applyAlignment="true">
      <alignment horizontal="center" vertical="center"/>
    </xf>
    <xf numFmtId="0" fontId="2" fillId="0" borderId="3" xfId="0" applyNumberFormat="true" applyFont="true" applyFill="true" applyBorder="true" applyAlignment="true">
      <alignment horizontal="center" vertical="center" wrapText="true"/>
    </xf>
    <xf numFmtId="49" fontId="2" fillId="0" borderId="4" xfId="0" applyNumberFormat="true" applyFont="true" applyFill="true" applyBorder="true" applyAlignment="true">
      <alignment horizontal="center" vertical="center"/>
    </xf>
    <xf numFmtId="49" fontId="2" fillId="0" borderId="5" xfId="0" applyNumberFormat="true" applyFont="true" applyFill="true" applyBorder="true" applyAlignment="true">
      <alignment horizontal="center" vertical="center"/>
    </xf>
    <xf numFmtId="49" fontId="2" fillId="0" borderId="6" xfId="0" applyNumberFormat="true" applyFont="true" applyFill="true" applyBorder="true" applyAlignment="true">
      <alignment horizontal="center" vertical="center"/>
    </xf>
    <xf numFmtId="49" fontId="2" fillId="0" borderId="7" xfId="0" applyNumberFormat="true" applyFont="true" applyFill="true" applyBorder="true" applyAlignment="true">
      <alignment horizontal="center" vertical="center"/>
    </xf>
    <xf numFmtId="49" fontId="2" fillId="0" borderId="0" xfId="0" applyNumberFormat="true" applyFont="true" applyFill="true" applyAlignment="true">
      <alignment horizontal="center" vertical="center"/>
    </xf>
    <xf numFmtId="49" fontId="2" fillId="0" borderId="8" xfId="0" applyNumberFormat="true" applyFont="true" applyFill="true" applyBorder="true" applyAlignment="true">
      <alignment horizontal="center" vertical="center"/>
    </xf>
    <xf numFmtId="49" fontId="2" fillId="0" borderId="9" xfId="0" applyNumberFormat="true" applyFont="true" applyFill="true" applyBorder="true" applyAlignment="true">
      <alignment horizontal="center" vertical="center"/>
    </xf>
    <xf numFmtId="49" fontId="2" fillId="0" borderId="10" xfId="0" applyNumberFormat="true" applyFont="true" applyFill="true" applyBorder="true" applyAlignment="true">
      <alignment horizontal="center" vertical="center"/>
    </xf>
    <xf numFmtId="49" fontId="2" fillId="0" borderId="1" xfId="0" applyNumberFormat="true" applyFont="true" applyFill="true" applyBorder="true" applyAlignment="true">
      <alignment horizontal="center" vertical="center"/>
    </xf>
    <xf numFmtId="49" fontId="2" fillId="0" borderId="11" xfId="0" applyNumberFormat="true" applyFont="true" applyFill="true" applyBorder="true" applyAlignment="true">
      <alignment horizontal="center" vertical="center"/>
    </xf>
    <xf numFmtId="49" fontId="2" fillId="0" borderId="12" xfId="0" applyNumberFormat="true" applyFont="true" applyFill="true" applyBorder="true" applyAlignment="true">
      <alignment horizontal="center" vertical="center"/>
    </xf>
    <xf numFmtId="0" fontId="2" fillId="0" borderId="13" xfId="0" applyFont="true" applyFill="true" applyBorder="true" applyAlignment="true">
      <alignment horizontal="center" vertical="center" wrapText="true"/>
    </xf>
    <xf numFmtId="0" fontId="2" fillId="0" borderId="14"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49" fontId="2" fillId="0" borderId="11" xfId="0" applyNumberFormat="true" applyFont="true" applyFill="true" applyBorder="true" applyAlignment="true">
      <alignment horizontal="center" vertical="center" wrapText="true"/>
    </xf>
    <xf numFmtId="49" fontId="2" fillId="0" borderId="15" xfId="0" applyNumberFormat="true" applyFont="true" applyFill="true" applyBorder="true" applyAlignment="true">
      <alignment horizontal="center" vertical="center" wrapText="true"/>
    </xf>
    <xf numFmtId="49" fontId="2" fillId="0" borderId="3" xfId="0" applyNumberFormat="true" applyFont="true" applyFill="true" applyBorder="true" applyAlignment="true">
      <alignment horizontal="center" vertical="center" wrapText="true"/>
    </xf>
    <xf numFmtId="49" fontId="2" fillId="0" borderId="15" xfId="0" applyNumberFormat="true" applyFont="true" applyFill="true" applyBorder="true" applyAlignment="true">
      <alignment horizontal="center" vertical="center"/>
    </xf>
    <xf numFmtId="49" fontId="2" fillId="0" borderId="3" xfId="0" applyNumberFormat="true" applyFont="true" applyFill="true" applyBorder="true" applyAlignment="true">
      <alignment vertical="center"/>
    </xf>
    <xf numFmtId="0" fontId="2" fillId="0" borderId="3" xfId="0" applyFont="true" applyFill="true" applyBorder="true" applyAlignment="true">
      <alignment vertical="center"/>
    </xf>
    <xf numFmtId="0" fontId="2" fillId="0" borderId="4" xfId="0" applyFont="true" applyFill="true" applyBorder="true" applyAlignment="true">
      <alignment horizontal="center" vertical="center" wrapText="true"/>
    </xf>
    <xf numFmtId="0" fontId="2" fillId="0" borderId="5" xfId="0" applyFont="true" applyFill="true" applyBorder="true" applyAlignment="true">
      <alignment horizontal="center" vertical="center" wrapText="true"/>
    </xf>
    <xf numFmtId="0" fontId="2" fillId="0" borderId="6" xfId="0" applyFont="true" applyFill="true" applyBorder="true" applyAlignment="true">
      <alignment horizontal="center" vertical="center" wrapText="true"/>
    </xf>
    <xf numFmtId="0" fontId="2" fillId="0" borderId="7" xfId="0" applyFont="true" applyFill="true" applyBorder="true" applyAlignment="true">
      <alignment horizontal="center" vertical="center" wrapText="true"/>
    </xf>
    <xf numFmtId="0" fontId="2" fillId="0" borderId="0" xfId="0" applyFont="true" applyFill="true" applyAlignment="true">
      <alignment horizontal="center" vertical="center" wrapText="true"/>
    </xf>
    <xf numFmtId="0" fontId="2" fillId="0" borderId="8" xfId="0" applyFont="true" applyFill="true" applyBorder="true" applyAlignment="true">
      <alignment horizontal="center" vertical="center" wrapText="true"/>
    </xf>
    <xf numFmtId="0" fontId="2" fillId="0" borderId="9" xfId="0" applyFont="true" applyFill="true" applyBorder="true" applyAlignment="true">
      <alignment horizontal="center" vertical="center" wrapText="true"/>
    </xf>
    <xf numFmtId="0" fontId="2" fillId="0" borderId="10"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1" fillId="2" borderId="14" xfId="0" applyFont="true" applyFill="true" applyBorder="true" applyAlignment="true">
      <alignment horizontal="center" vertical="center" wrapText="true"/>
    </xf>
    <xf numFmtId="177" fontId="1" fillId="0" borderId="2" xfId="0" applyNumberFormat="true" applyFont="true" applyFill="true" applyBorder="true" applyAlignment="true">
      <alignment horizontal="center" vertical="center" wrapText="true"/>
    </xf>
    <xf numFmtId="10" fontId="1" fillId="0" borderId="3" xfId="0" applyNumberFormat="true" applyFont="true" applyFill="true" applyBorder="true" applyAlignment="true">
      <alignment horizontal="center" vertical="center" wrapText="true"/>
    </xf>
    <xf numFmtId="0" fontId="1" fillId="2" borderId="2" xfId="0" applyFont="true" applyFill="true" applyBorder="true" applyAlignment="true">
      <alignment horizontal="center" vertical="center" wrapText="true"/>
    </xf>
    <xf numFmtId="177" fontId="2" fillId="0" borderId="3" xfId="0" applyNumberFormat="true" applyFont="true" applyFill="true" applyBorder="true" applyAlignment="true">
      <alignment horizontal="center" vertical="center" wrapText="true"/>
    </xf>
    <xf numFmtId="10" fontId="2" fillId="0" borderId="3" xfId="0" applyNumberFormat="true" applyFont="true" applyFill="true" applyBorder="true" applyAlignment="true">
      <alignment horizontal="center" vertical="center" wrapText="true"/>
    </xf>
    <xf numFmtId="0" fontId="2" fillId="0" borderId="3" xfId="0" applyFont="true" applyFill="true" applyBorder="true" applyAlignment="true">
      <alignment vertical="center" wrapText="true"/>
    </xf>
    <xf numFmtId="0" fontId="2" fillId="0" borderId="3" xfId="0" applyFont="true" applyFill="true" applyBorder="true" applyAlignment="true">
      <alignment horizontal="center" vertical="center"/>
    </xf>
    <xf numFmtId="178" fontId="2" fillId="0" borderId="3" xfId="0" applyNumberFormat="true" applyFont="true" applyFill="true" applyBorder="true" applyAlignment="true">
      <alignment horizontal="center" vertical="center" wrapText="true"/>
    </xf>
    <xf numFmtId="9" fontId="2" fillId="0" borderId="3" xfId="0" applyNumberFormat="true" applyFont="true" applyFill="true" applyBorder="true" applyAlignment="true">
      <alignment horizontal="center" vertical="center" wrapText="true"/>
    </xf>
    <xf numFmtId="49" fontId="2" fillId="0" borderId="12" xfId="0" applyNumberFormat="true" applyFont="true" applyFill="true" applyBorder="true" applyAlignment="true">
      <alignment horizontal="center" vertical="center" wrapText="true"/>
    </xf>
    <xf numFmtId="0" fontId="2" fillId="0" borderId="3" xfId="0" applyNumberFormat="true" applyFont="true" applyFill="true" applyBorder="true" applyAlignment="true" applyProtection="true">
      <alignment horizontal="center" vertical="center" wrapText="true"/>
    </xf>
    <xf numFmtId="10" fontId="2" fillId="0" borderId="13" xfId="0" applyNumberFormat="true" applyFont="true" applyFill="true" applyBorder="true" applyAlignment="true">
      <alignment horizontal="center" vertical="center" wrapText="true"/>
    </xf>
    <xf numFmtId="10" fontId="2" fillId="0" borderId="14" xfId="0" applyNumberFormat="true" applyFont="true" applyFill="true" applyBorder="true" applyAlignment="true">
      <alignment horizontal="center" vertical="center" wrapText="true"/>
    </xf>
    <xf numFmtId="10" fontId="2" fillId="0" borderId="2" xfId="0" applyNumberFormat="true" applyFont="true" applyFill="true" applyBorder="true" applyAlignment="true">
      <alignment horizontal="center" vertical="center" wrapText="true"/>
    </xf>
    <xf numFmtId="0" fontId="1" fillId="0" borderId="3" xfId="0" applyNumberFormat="true" applyFont="true" applyFill="true" applyBorder="true" applyAlignment="true">
      <alignment horizontal="center" vertical="center" wrapText="true"/>
    </xf>
    <xf numFmtId="176" fontId="1" fillId="0" borderId="3" xfId="0" applyNumberFormat="true" applyFont="true" applyFill="true" applyBorder="true" applyAlignment="true">
      <alignment horizontal="center" vertical="center" wrapText="true"/>
    </xf>
    <xf numFmtId="178" fontId="1" fillId="0" borderId="3" xfId="0" applyNumberFormat="true" applyFont="true" applyFill="true" applyBorder="true" applyAlignment="true">
      <alignment horizontal="center" vertical="center" wrapText="true"/>
    </xf>
    <xf numFmtId="0" fontId="2" fillId="0" borderId="3" xfId="0" applyFont="true" applyFill="true" applyBorder="true" applyAlignment="true">
      <alignment horizontal="justify" vertical="center"/>
    </xf>
    <xf numFmtId="178" fontId="6" fillId="0" borderId="2" xfId="0" applyNumberFormat="true" applyFont="true" applyFill="true" applyBorder="true" applyAlignment="true">
      <alignment horizontal="center" vertical="center" wrapText="true"/>
    </xf>
    <xf numFmtId="178" fontId="1" fillId="0" borderId="2" xfId="0" applyNumberFormat="true" applyFont="true" applyFill="true" applyBorder="true" applyAlignment="true">
      <alignment horizontal="center" vertical="center" wrapText="true"/>
    </xf>
    <xf numFmtId="177" fontId="1" fillId="0" borderId="3" xfId="0" applyNumberFormat="true" applyFont="true" applyFill="true" applyBorder="true" applyAlignment="true">
      <alignment horizontal="center" vertical="center" wrapText="true"/>
    </xf>
    <xf numFmtId="176" fontId="2" fillId="0" borderId="3" xfId="0" applyNumberFormat="true" applyFont="true" applyFill="true" applyBorder="true" applyAlignment="true">
      <alignment horizontal="center" vertical="center" wrapText="true"/>
    </xf>
    <xf numFmtId="10" fontId="2" fillId="0" borderId="3" xfId="0" applyNumberFormat="true" applyFont="true" applyFill="true" applyBorder="true" applyAlignment="true">
      <alignment vertical="center" wrapText="true"/>
    </xf>
    <xf numFmtId="10" fontId="1" fillId="0" borderId="2" xfId="0" applyNumberFormat="true" applyFont="true" applyFill="true" applyBorder="true" applyAlignment="true">
      <alignment horizontal="center" vertical="center" wrapText="true"/>
    </xf>
    <xf numFmtId="0" fontId="2" fillId="0" borderId="3" xfId="0" applyFont="true" applyFill="true" applyBorder="true" applyAlignment="true">
      <alignment horizontal="left" vertical="center" wrapText="true"/>
    </xf>
    <xf numFmtId="0" fontId="2" fillId="0" borderId="3" xfId="0" applyFont="true" applyFill="true" applyBorder="true" applyAlignment="true">
      <alignment horizontal="justify" vertical="center" wrapText="true"/>
    </xf>
    <xf numFmtId="0" fontId="6" fillId="0" borderId="9" xfId="0" applyFont="true" applyFill="true" applyBorder="true" applyAlignment="true">
      <alignment horizontal="center" vertical="center" wrapText="true"/>
    </xf>
    <xf numFmtId="10" fontId="1" fillId="0" borderId="3" xfId="0" applyNumberFormat="true" applyFont="true" applyFill="true" applyBorder="true" applyAlignment="true">
      <alignment vertical="center" wrapText="true"/>
    </xf>
    <xf numFmtId="0" fontId="7" fillId="0" borderId="3" xfId="0" applyFont="true" applyFill="true" applyBorder="true" applyAlignment="true">
      <alignment horizontal="left" vertical="center" wrapText="true"/>
    </xf>
    <xf numFmtId="0" fontId="7" fillId="0" borderId="3" xfId="0" applyFont="true" applyFill="true" applyBorder="true" applyAlignment="true">
      <alignment vertical="center" wrapText="true"/>
    </xf>
    <xf numFmtId="0" fontId="8" fillId="0" borderId="3" xfId="0" applyFont="true" applyFill="true" applyBorder="true" applyAlignment="true">
      <alignment vertical="center" wrapText="true"/>
    </xf>
    <xf numFmtId="10" fontId="9" fillId="0" borderId="3" xfId="0" applyNumberFormat="true" applyFont="true" applyFill="true" applyBorder="true" applyAlignment="true">
      <alignment horizontal="center" vertical="center" wrapText="true"/>
    </xf>
    <xf numFmtId="178" fontId="7" fillId="0" borderId="3" xfId="0" applyNumberFormat="true" applyFont="true" applyFill="true" applyBorder="true" applyAlignment="true">
      <alignment horizontal="center" vertical="center" wrapText="true"/>
    </xf>
    <xf numFmtId="176" fontId="7" fillId="0" borderId="3" xfId="0" applyNumberFormat="true" applyFont="true" applyFill="true" applyBorder="true" applyAlignment="true">
      <alignment horizontal="center" vertical="center" wrapText="true"/>
    </xf>
    <xf numFmtId="0" fontId="10" fillId="0" borderId="3" xfId="0" applyFont="true" applyFill="true" applyBorder="true" applyAlignment="true">
      <alignment horizontal="center" vertical="center" wrapText="true"/>
    </xf>
  </cellXfs>
  <cellStyles count="51">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常规 3" xfId="49"/>
    <cellStyle name="链接单元格" xfId="50" builtinId="24"/>
  </cellStyles>
  <tableStyles count="0" defaultTableStyle="TableStyleMedium2" defaultPivotStyle="PivotStyleLight16"/>
  <colors>
    <mruColors>
      <color rgb="00F7B6C8"/>
      <color rgb="00FFC000"/>
      <color rgb="0051D4FF"/>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67"/>
  <sheetViews>
    <sheetView tabSelected="1" zoomScale="130" zoomScaleNormal="130" topLeftCell="S1" workbookViewId="0">
      <pane ySplit="5" topLeftCell="A22" activePane="bottomLeft" state="frozen"/>
      <selection/>
      <selection pane="bottomLeft" activeCell="AD51" sqref="AD51:AD54"/>
    </sheetView>
  </sheetViews>
  <sheetFormatPr defaultColWidth="9" defaultRowHeight="14.25"/>
  <cols>
    <col min="1" max="1" width="4.99166666666667" style="7" customWidth="true"/>
    <col min="2" max="2" width="4.41666666666667" style="8" customWidth="true"/>
    <col min="3" max="3" width="0.283333333333333" style="8" customWidth="true"/>
    <col min="4" max="4" width="1.875" style="8" hidden="true" customWidth="true"/>
    <col min="5" max="5" width="15.2833333333333" style="7" customWidth="true"/>
    <col min="6" max="6" width="8.65" style="7" customWidth="true"/>
    <col min="7" max="7" width="8.5" style="7" customWidth="true"/>
    <col min="8" max="9" width="7" style="9" customWidth="true"/>
    <col min="10" max="10" width="9.70833333333333" style="10" customWidth="true"/>
    <col min="11" max="11" width="7" style="11" customWidth="true"/>
    <col min="12" max="12" width="10.0916666666667" style="12" customWidth="true"/>
    <col min="13" max="13" width="8.94166666666667" style="12" customWidth="true"/>
    <col min="14" max="14" width="7" style="13" customWidth="true"/>
    <col min="15" max="15" width="7" style="9" customWidth="true"/>
    <col min="16" max="16" width="10.125" style="11" customWidth="true"/>
    <col min="17" max="17" width="7" style="12" customWidth="true"/>
    <col min="18" max="18" width="7" style="9" customWidth="true"/>
    <col min="19" max="19" width="8.275" style="13" customWidth="true"/>
    <col min="20" max="20" width="8.94166666666667" style="13" customWidth="true"/>
    <col min="21" max="21" width="8.45833333333333" style="9" customWidth="true"/>
    <col min="22" max="22" width="11.4333333333333" style="13" customWidth="true"/>
    <col min="23" max="23" width="9.625" style="13" customWidth="true"/>
    <col min="24" max="24" width="8.625" style="9" customWidth="true"/>
    <col min="25" max="25" width="77.75" style="14" customWidth="true"/>
    <col min="26" max="26" width="25.875" style="14" customWidth="true"/>
    <col min="27" max="27" width="10.475" style="14" customWidth="true"/>
    <col min="28" max="28" width="7.88333333333333" style="14" customWidth="true"/>
    <col min="29" max="29" width="20.5" style="1" customWidth="true"/>
    <col min="30" max="30" width="12.2" style="1" customWidth="true"/>
    <col min="31" max="31" width="11.8" style="1" customWidth="true"/>
    <col min="32" max="32" width="28.275" style="1" customWidth="true"/>
    <col min="33" max="16384" width="9" style="1"/>
  </cols>
  <sheetData>
    <row r="1" ht="20.25" spans="1:2">
      <c r="A1" s="15" t="s">
        <v>0</v>
      </c>
      <c r="B1" s="15"/>
    </row>
    <row r="2" s="1" customFormat="true" ht="21" spans="1:32">
      <c r="A2" s="16" t="s">
        <v>1</v>
      </c>
      <c r="B2" s="17"/>
      <c r="C2" s="17"/>
      <c r="D2" s="17"/>
      <c r="E2" s="17"/>
      <c r="F2" s="17"/>
      <c r="G2" s="17"/>
      <c r="H2" s="17"/>
      <c r="I2" s="17"/>
      <c r="J2" s="17"/>
      <c r="K2" s="17"/>
      <c r="L2" s="17"/>
      <c r="M2" s="73"/>
      <c r="N2" s="17"/>
      <c r="O2" s="17"/>
      <c r="P2" s="17"/>
      <c r="Q2" s="17"/>
      <c r="R2" s="17"/>
      <c r="S2" s="17"/>
      <c r="T2" s="17"/>
      <c r="U2" s="17"/>
      <c r="V2" s="17"/>
      <c r="W2" s="17"/>
      <c r="X2" s="17"/>
      <c r="Y2" s="17"/>
      <c r="Z2" s="17"/>
      <c r="AA2" s="17"/>
      <c r="AB2" s="17"/>
      <c r="AC2" s="17"/>
      <c r="AD2" s="17"/>
      <c r="AE2" s="17"/>
      <c r="AF2" s="81"/>
    </row>
    <row r="3" s="2" customFormat="true" ht="12" spans="1:32">
      <c r="A3" s="18" t="s">
        <v>2</v>
      </c>
      <c r="B3" s="19" t="s">
        <v>3</v>
      </c>
      <c r="C3" s="19"/>
      <c r="D3" s="19"/>
      <c r="E3" s="18" t="s">
        <v>4</v>
      </c>
      <c r="F3" s="54" t="s">
        <v>5</v>
      </c>
      <c r="G3" s="55" t="s">
        <v>6</v>
      </c>
      <c r="H3" s="55"/>
      <c r="I3" s="55"/>
      <c r="J3" s="55"/>
      <c r="K3" s="55"/>
      <c r="L3" s="55"/>
      <c r="M3" s="74"/>
      <c r="N3" s="55"/>
      <c r="O3" s="55"/>
      <c r="P3" s="55"/>
      <c r="Q3" s="55"/>
      <c r="R3" s="55"/>
      <c r="S3" s="55" t="s">
        <v>7</v>
      </c>
      <c r="T3" s="55"/>
      <c r="U3" s="55"/>
      <c r="V3" s="55"/>
      <c r="W3" s="55"/>
      <c r="X3" s="55"/>
      <c r="Y3" s="78" t="s">
        <v>8</v>
      </c>
      <c r="Z3" s="78" t="s">
        <v>9</v>
      </c>
      <c r="AA3" s="18" t="s">
        <v>10</v>
      </c>
      <c r="AB3" s="18"/>
      <c r="AC3" s="18" t="s">
        <v>11</v>
      </c>
      <c r="AD3" s="18"/>
      <c r="AE3" s="18"/>
      <c r="AF3" s="78" t="s">
        <v>12</v>
      </c>
    </row>
    <row r="4" s="3" customFormat="true" ht="12" spans="1:32">
      <c r="A4" s="20"/>
      <c r="B4" s="21"/>
      <c r="C4" s="21"/>
      <c r="D4" s="21"/>
      <c r="E4" s="20"/>
      <c r="F4" s="54"/>
      <c r="G4" s="20" t="s">
        <v>13</v>
      </c>
      <c r="H4" s="56" t="s">
        <v>14</v>
      </c>
      <c r="I4" s="56" t="s">
        <v>15</v>
      </c>
      <c r="J4" s="69" t="s">
        <v>16</v>
      </c>
      <c r="K4" s="70" t="s">
        <v>17</v>
      </c>
      <c r="L4" s="71" t="s">
        <v>18</v>
      </c>
      <c r="M4" s="71" t="s">
        <v>19</v>
      </c>
      <c r="N4" s="70" t="s">
        <v>20</v>
      </c>
      <c r="O4" s="56" t="s">
        <v>21</v>
      </c>
      <c r="P4" s="75" t="s">
        <v>22</v>
      </c>
      <c r="Q4" s="71" t="s">
        <v>23</v>
      </c>
      <c r="R4" s="56" t="s">
        <v>24</v>
      </c>
      <c r="S4" s="56" t="s">
        <v>25</v>
      </c>
      <c r="T4" s="56"/>
      <c r="U4" s="56"/>
      <c r="V4" s="56" t="s">
        <v>26</v>
      </c>
      <c r="W4" s="56"/>
      <c r="X4" s="56"/>
      <c r="Y4" s="56"/>
      <c r="Z4" s="56"/>
      <c r="AA4" s="20"/>
      <c r="AB4" s="20"/>
      <c r="AC4" s="20"/>
      <c r="AD4" s="20"/>
      <c r="AE4" s="20"/>
      <c r="AF4" s="56"/>
    </row>
    <row r="5" s="3" customFormat="true" ht="24" spans="1:32">
      <c r="A5" s="20"/>
      <c r="B5" s="21"/>
      <c r="C5" s="21"/>
      <c r="D5" s="21"/>
      <c r="E5" s="20"/>
      <c r="F5" s="57"/>
      <c r="G5" s="20"/>
      <c r="H5" s="56"/>
      <c r="I5" s="56"/>
      <c r="J5" s="69"/>
      <c r="K5" s="70"/>
      <c r="L5" s="71"/>
      <c r="M5" s="71"/>
      <c r="N5" s="70"/>
      <c r="O5" s="56"/>
      <c r="P5" s="75"/>
      <c r="Q5" s="71"/>
      <c r="R5" s="56"/>
      <c r="S5" s="70" t="s">
        <v>27</v>
      </c>
      <c r="T5" s="70" t="s">
        <v>28</v>
      </c>
      <c r="U5" s="56" t="s">
        <v>29</v>
      </c>
      <c r="V5" s="70" t="s">
        <v>27</v>
      </c>
      <c r="W5" s="70" t="s">
        <v>28</v>
      </c>
      <c r="X5" s="56" t="s">
        <v>30</v>
      </c>
      <c r="Y5" s="56"/>
      <c r="Z5" s="56"/>
      <c r="AA5" s="20" t="s">
        <v>31</v>
      </c>
      <c r="AB5" s="20" t="s">
        <v>32</v>
      </c>
      <c r="AC5" s="20" t="s">
        <v>33</v>
      </c>
      <c r="AD5" s="20" t="s">
        <v>34</v>
      </c>
      <c r="AE5" s="56" t="s">
        <v>35</v>
      </c>
      <c r="AF5" s="82"/>
    </row>
    <row r="6" s="4" customFormat="true" ht="72" spans="1:32">
      <c r="A6" s="22" t="s">
        <v>36</v>
      </c>
      <c r="B6" s="23" t="s">
        <v>37</v>
      </c>
      <c r="C6" s="23"/>
      <c r="D6" s="23"/>
      <c r="E6" s="22" t="s">
        <v>38</v>
      </c>
      <c r="F6" s="58">
        <v>5</v>
      </c>
      <c r="G6" s="22">
        <v>105.61</v>
      </c>
      <c r="H6" s="59">
        <v>0.62</v>
      </c>
      <c r="I6" s="59">
        <v>0.62</v>
      </c>
      <c r="J6" s="24">
        <v>65.4782</v>
      </c>
      <c r="K6" s="58" t="s">
        <v>39</v>
      </c>
      <c r="L6" s="62">
        <v>4</v>
      </c>
      <c r="M6" s="62">
        <f>J6*L6</f>
        <v>261.9128</v>
      </c>
      <c r="N6" s="76">
        <f>M6/G6</f>
        <v>2.48</v>
      </c>
      <c r="O6" s="59">
        <f>N6/80</f>
        <v>0.031</v>
      </c>
      <c r="P6" s="58">
        <f>M6+M7+M9</f>
        <v>1001.1828</v>
      </c>
      <c r="Q6" s="62">
        <f>N6+N7+N9</f>
        <v>9.48</v>
      </c>
      <c r="R6" s="59">
        <f>P6/(G6*80)</f>
        <v>0.1185</v>
      </c>
      <c r="S6" s="76">
        <v>2</v>
      </c>
      <c r="T6" s="76">
        <f>U6*M6</f>
        <v>130.9564</v>
      </c>
      <c r="U6" s="59">
        <f>S6/L6</f>
        <v>0.5</v>
      </c>
      <c r="V6" s="76">
        <f>L6-S6</f>
        <v>2</v>
      </c>
      <c r="W6" s="76">
        <f>X6*M6</f>
        <v>130.9564</v>
      </c>
      <c r="X6" s="59">
        <f>V6/L6</f>
        <v>0.5</v>
      </c>
      <c r="Y6" s="60" t="s">
        <v>40</v>
      </c>
      <c r="Z6" s="60" t="s">
        <v>41</v>
      </c>
      <c r="AA6" s="79" t="s">
        <v>42</v>
      </c>
      <c r="AB6" s="79" t="s">
        <v>43</v>
      </c>
      <c r="AC6" s="22" t="s">
        <v>44</v>
      </c>
      <c r="AD6" s="22" t="s">
        <v>44</v>
      </c>
      <c r="AE6" s="22" t="s">
        <v>44</v>
      </c>
      <c r="AF6" s="83" t="s">
        <v>45</v>
      </c>
    </row>
    <row r="7" s="4" customFormat="true" ht="96" spans="1:32">
      <c r="A7" s="22"/>
      <c r="B7" s="23" t="s">
        <v>46</v>
      </c>
      <c r="C7" s="23"/>
      <c r="D7" s="23"/>
      <c r="E7" s="22" t="s">
        <v>47</v>
      </c>
      <c r="F7" s="58">
        <v>5</v>
      </c>
      <c r="G7" s="22">
        <v>105.61</v>
      </c>
      <c r="H7" s="59">
        <v>0.5</v>
      </c>
      <c r="I7" s="59">
        <v>0.5</v>
      </c>
      <c r="J7" s="24">
        <f>G7*I7</f>
        <v>52.805</v>
      </c>
      <c r="K7" s="58" t="s">
        <v>39</v>
      </c>
      <c r="L7" s="62">
        <v>2</v>
      </c>
      <c r="M7" s="62">
        <f>J7*L7</f>
        <v>105.61</v>
      </c>
      <c r="N7" s="76">
        <f>M7/G7</f>
        <v>1</v>
      </c>
      <c r="O7" s="59">
        <f>N7/80</f>
        <v>0.0125</v>
      </c>
      <c r="P7" s="58"/>
      <c r="Q7" s="62"/>
      <c r="R7" s="59"/>
      <c r="S7" s="76">
        <v>1</v>
      </c>
      <c r="T7" s="76">
        <f>U7*M7</f>
        <v>52.805</v>
      </c>
      <c r="U7" s="59">
        <f>S7/L7</f>
        <v>0.5</v>
      </c>
      <c r="V7" s="76">
        <f>L7-S7</f>
        <v>1</v>
      </c>
      <c r="W7" s="76">
        <f>X7*M7</f>
        <v>52.805</v>
      </c>
      <c r="X7" s="59">
        <f>V7/L7</f>
        <v>0.5</v>
      </c>
      <c r="Y7" s="72" t="s">
        <v>48</v>
      </c>
      <c r="Z7" s="60" t="s">
        <v>49</v>
      </c>
      <c r="AA7" s="79"/>
      <c r="AB7" s="79"/>
      <c r="AC7" s="22"/>
      <c r="AD7" s="22"/>
      <c r="AE7" s="22"/>
      <c r="AF7" s="83"/>
    </row>
    <row r="8" s="4" customFormat="true" ht="12" spans="1:32">
      <c r="A8" s="22"/>
      <c r="B8" s="23"/>
      <c r="C8" s="23"/>
      <c r="D8" s="23"/>
      <c r="E8" s="22" t="s">
        <v>50</v>
      </c>
      <c r="F8" s="58">
        <v>5</v>
      </c>
      <c r="G8" s="22">
        <v>105.61</v>
      </c>
      <c r="H8" s="59"/>
      <c r="I8" s="59"/>
      <c r="J8" s="24">
        <v>79.9617</v>
      </c>
      <c r="K8" s="58" t="s">
        <v>51</v>
      </c>
      <c r="L8" s="62">
        <v>5</v>
      </c>
      <c r="M8" s="62">
        <v>399.81</v>
      </c>
      <c r="N8" s="76">
        <f>M8/G8</f>
        <v>3.78572104914307</v>
      </c>
      <c r="O8" s="59"/>
      <c r="P8" s="58"/>
      <c r="Q8" s="62"/>
      <c r="R8" s="59"/>
      <c r="S8" s="76">
        <v>2.5</v>
      </c>
      <c r="T8" s="76">
        <v>199.9</v>
      </c>
      <c r="U8" s="59" t="s">
        <v>52</v>
      </c>
      <c r="V8" s="76">
        <v>2.5</v>
      </c>
      <c r="W8" s="76">
        <v>199.91</v>
      </c>
      <c r="X8" s="59" t="s">
        <v>52</v>
      </c>
      <c r="Y8" s="72"/>
      <c r="Z8" s="60"/>
      <c r="AA8" s="79"/>
      <c r="AB8" s="79"/>
      <c r="AC8" s="22"/>
      <c r="AD8" s="22"/>
      <c r="AE8" s="22"/>
      <c r="AF8" s="83"/>
    </row>
    <row r="9" s="4" customFormat="true" ht="72" spans="1:32">
      <c r="A9" s="22"/>
      <c r="B9" s="23" t="s">
        <v>53</v>
      </c>
      <c r="C9" s="23"/>
      <c r="D9" s="23"/>
      <c r="E9" s="22" t="s">
        <v>54</v>
      </c>
      <c r="F9" s="58">
        <v>20</v>
      </c>
      <c r="G9" s="22">
        <v>105.61</v>
      </c>
      <c r="H9" s="59">
        <v>0.3</v>
      </c>
      <c r="I9" s="59">
        <v>0.3</v>
      </c>
      <c r="J9" s="24">
        <f>G9*I9</f>
        <v>31.683</v>
      </c>
      <c r="K9" s="58" t="s">
        <v>39</v>
      </c>
      <c r="L9" s="62">
        <v>20</v>
      </c>
      <c r="M9" s="62">
        <f>J9*L9</f>
        <v>633.66</v>
      </c>
      <c r="N9" s="76">
        <f>M9/G9</f>
        <v>6</v>
      </c>
      <c r="O9" s="59">
        <f t="shared" ref="O9:O14" si="0">N9/80</f>
        <v>0.075</v>
      </c>
      <c r="P9" s="58"/>
      <c r="Q9" s="62"/>
      <c r="R9" s="59"/>
      <c r="S9" s="76">
        <v>10</v>
      </c>
      <c r="T9" s="76">
        <f>U9*M9</f>
        <v>316.83</v>
      </c>
      <c r="U9" s="59">
        <f t="shared" ref="U9:U14" si="1">S9/L9</f>
        <v>0.5</v>
      </c>
      <c r="V9" s="76">
        <f t="shared" ref="V9:V14" si="2">L9-S9</f>
        <v>10</v>
      </c>
      <c r="W9" s="76">
        <f>X9*M9</f>
        <v>316.83</v>
      </c>
      <c r="X9" s="59">
        <f t="shared" ref="X9:X14" si="3">V9/L9</f>
        <v>0.5</v>
      </c>
      <c r="Y9" s="60" t="s">
        <v>55</v>
      </c>
      <c r="Z9" s="60" t="s">
        <v>56</v>
      </c>
      <c r="AA9" s="79"/>
      <c r="AB9" s="79"/>
      <c r="AC9" s="22"/>
      <c r="AD9" s="22"/>
      <c r="AE9" s="22"/>
      <c r="AF9" s="83"/>
    </row>
    <row r="10" s="4" customFormat="true" ht="60" spans="1:32">
      <c r="A10" s="24" t="s">
        <v>57</v>
      </c>
      <c r="B10" s="23" t="s">
        <v>58</v>
      </c>
      <c r="C10" s="23"/>
      <c r="D10" s="23"/>
      <c r="E10" s="22" t="s">
        <v>59</v>
      </c>
      <c r="F10" s="58" t="s">
        <v>60</v>
      </c>
      <c r="G10" s="22">
        <v>105.61</v>
      </c>
      <c r="H10" s="59" t="s">
        <v>44</v>
      </c>
      <c r="I10" s="59">
        <v>0.6</v>
      </c>
      <c r="J10" s="24">
        <v>87.96</v>
      </c>
      <c r="K10" s="58" t="s">
        <v>61</v>
      </c>
      <c r="L10" s="62">
        <v>0.6</v>
      </c>
      <c r="M10" s="62">
        <f>J10*L10*I10</f>
        <v>31.6656</v>
      </c>
      <c r="N10" s="76">
        <f t="shared" ref="N10:N15" si="4">M10/G10</f>
        <v>0.299835242874728</v>
      </c>
      <c r="O10" s="59">
        <f t="shared" si="0"/>
        <v>0.0037479405359341</v>
      </c>
      <c r="P10" s="58">
        <f>M10+M11+M12+M13+M14+M16+M17+M18</f>
        <v>185.964</v>
      </c>
      <c r="Q10" s="62">
        <f>N10+N11+N13+N14+N17+N12+N16+N18</f>
        <v>1.76085597954739</v>
      </c>
      <c r="R10" s="59">
        <f>P10/(G10*80)</f>
        <v>0.0220106997443424</v>
      </c>
      <c r="S10" s="76">
        <v>0.24</v>
      </c>
      <c r="T10" s="76">
        <f t="shared" ref="T9:T14" si="5">U10*M10</f>
        <v>12.66624</v>
      </c>
      <c r="U10" s="59">
        <f t="shared" si="1"/>
        <v>0.4</v>
      </c>
      <c r="V10" s="76">
        <f t="shared" si="2"/>
        <v>0.36</v>
      </c>
      <c r="W10" s="76">
        <f t="shared" ref="W9:W14" si="6">X10*M10</f>
        <v>18.99936</v>
      </c>
      <c r="X10" s="59">
        <f t="shared" si="3"/>
        <v>0.6</v>
      </c>
      <c r="Y10" s="60" t="s">
        <v>62</v>
      </c>
      <c r="Z10" s="72" t="s">
        <v>63</v>
      </c>
      <c r="AA10" s="79" t="s">
        <v>64</v>
      </c>
      <c r="AB10" s="79" t="s">
        <v>65</v>
      </c>
      <c r="AC10" s="22" t="s">
        <v>44</v>
      </c>
      <c r="AD10" s="22" t="s">
        <v>44</v>
      </c>
      <c r="AE10" s="22" t="s">
        <v>44</v>
      </c>
      <c r="AF10" s="83" t="s">
        <v>66</v>
      </c>
    </row>
    <row r="11" s="4" customFormat="true" ht="72" spans="1:32">
      <c r="A11" s="24"/>
      <c r="B11" s="23" t="s">
        <v>67</v>
      </c>
      <c r="C11" s="23"/>
      <c r="D11" s="23"/>
      <c r="E11" s="22" t="s">
        <v>68</v>
      </c>
      <c r="F11" s="58" t="s">
        <v>60</v>
      </c>
      <c r="G11" s="22">
        <v>105.61</v>
      </c>
      <c r="H11" s="59" t="s">
        <v>44</v>
      </c>
      <c r="I11" s="59" t="s">
        <v>44</v>
      </c>
      <c r="J11" s="24">
        <v>28</v>
      </c>
      <c r="K11" s="58" t="s">
        <v>69</v>
      </c>
      <c r="L11" s="62">
        <v>600</v>
      </c>
      <c r="M11" s="62">
        <f>J11*L11/10000</f>
        <v>1.68</v>
      </c>
      <c r="N11" s="76">
        <f t="shared" si="4"/>
        <v>0.0159075845090427</v>
      </c>
      <c r="O11" s="59">
        <f t="shared" si="0"/>
        <v>0.000198844806363034</v>
      </c>
      <c r="P11" s="58"/>
      <c r="Q11" s="62"/>
      <c r="R11" s="59"/>
      <c r="S11" s="76">
        <v>78</v>
      </c>
      <c r="T11" s="76">
        <f t="shared" si="5"/>
        <v>0.2184</v>
      </c>
      <c r="U11" s="59">
        <f t="shared" si="1"/>
        <v>0.13</v>
      </c>
      <c r="V11" s="76">
        <f t="shared" si="2"/>
        <v>522</v>
      </c>
      <c r="W11" s="76">
        <f t="shared" si="6"/>
        <v>1.4616</v>
      </c>
      <c r="X11" s="59">
        <f t="shared" si="3"/>
        <v>0.87</v>
      </c>
      <c r="Y11" s="60" t="s">
        <v>70</v>
      </c>
      <c r="Z11" s="72" t="s">
        <v>71</v>
      </c>
      <c r="AA11" s="79"/>
      <c r="AB11" s="79"/>
      <c r="AC11" s="22"/>
      <c r="AD11" s="22"/>
      <c r="AE11" s="22"/>
      <c r="AF11" s="79"/>
    </row>
    <row r="12" s="4" customFormat="true" ht="60" spans="1:32">
      <c r="A12" s="24"/>
      <c r="B12" s="23" t="s">
        <v>72</v>
      </c>
      <c r="C12" s="23"/>
      <c r="D12" s="23"/>
      <c r="E12" s="22" t="s">
        <v>73</v>
      </c>
      <c r="F12" s="58" t="s">
        <v>60</v>
      </c>
      <c r="G12" s="22">
        <v>105.61</v>
      </c>
      <c r="H12" s="59" t="s">
        <v>44</v>
      </c>
      <c r="I12" s="59" t="s">
        <v>44</v>
      </c>
      <c r="J12" s="61">
        <v>21</v>
      </c>
      <c r="K12" s="58" t="s">
        <v>69</v>
      </c>
      <c r="L12" s="62">
        <v>200</v>
      </c>
      <c r="M12" s="62">
        <f>J12*L12*12/10000</f>
        <v>5.04</v>
      </c>
      <c r="N12" s="76">
        <f t="shared" si="4"/>
        <v>0.0477227535271281</v>
      </c>
      <c r="O12" s="59">
        <f t="shared" si="0"/>
        <v>0.000596534419089101</v>
      </c>
      <c r="P12" s="58"/>
      <c r="Q12" s="62"/>
      <c r="R12" s="59"/>
      <c r="S12" s="76">
        <v>200</v>
      </c>
      <c r="T12" s="76">
        <f t="shared" si="5"/>
        <v>5.04</v>
      </c>
      <c r="U12" s="59">
        <f t="shared" si="1"/>
        <v>1</v>
      </c>
      <c r="V12" s="76">
        <f t="shared" si="2"/>
        <v>0</v>
      </c>
      <c r="W12" s="76">
        <f t="shared" si="6"/>
        <v>0</v>
      </c>
      <c r="X12" s="59">
        <f t="shared" si="3"/>
        <v>0</v>
      </c>
      <c r="Y12" s="79" t="s">
        <v>74</v>
      </c>
      <c r="Z12" s="72" t="s">
        <v>75</v>
      </c>
      <c r="AA12" s="79"/>
      <c r="AB12" s="79"/>
      <c r="AC12" s="22"/>
      <c r="AD12" s="22"/>
      <c r="AE12" s="22"/>
      <c r="AF12" s="79"/>
    </row>
    <row r="13" s="4" customFormat="true" ht="60" spans="1:32">
      <c r="A13" s="24"/>
      <c r="B13" s="23"/>
      <c r="C13" s="23"/>
      <c r="D13" s="23"/>
      <c r="E13" s="22" t="s">
        <v>76</v>
      </c>
      <c r="F13" s="58" t="s">
        <v>60</v>
      </c>
      <c r="G13" s="22">
        <v>105.61</v>
      </c>
      <c r="H13" s="59" t="s">
        <v>44</v>
      </c>
      <c r="I13" s="59" t="s">
        <v>44</v>
      </c>
      <c r="J13" s="61">
        <v>114</v>
      </c>
      <c r="K13" s="58" t="s">
        <v>69</v>
      </c>
      <c r="L13" s="62">
        <v>200</v>
      </c>
      <c r="M13" s="62">
        <f>J13*L13*6/10000</f>
        <v>13.68</v>
      </c>
      <c r="N13" s="76">
        <f t="shared" si="4"/>
        <v>0.129533188145062</v>
      </c>
      <c r="O13" s="59">
        <f t="shared" si="0"/>
        <v>0.00161916485181328</v>
      </c>
      <c r="P13" s="58"/>
      <c r="Q13" s="62"/>
      <c r="R13" s="59"/>
      <c r="S13" s="76">
        <v>0</v>
      </c>
      <c r="T13" s="76">
        <f t="shared" si="5"/>
        <v>0</v>
      </c>
      <c r="U13" s="59">
        <f t="shared" si="1"/>
        <v>0</v>
      </c>
      <c r="V13" s="76">
        <f t="shared" si="2"/>
        <v>200</v>
      </c>
      <c r="W13" s="76">
        <f t="shared" si="6"/>
        <v>13.68</v>
      </c>
      <c r="X13" s="59">
        <f t="shared" si="3"/>
        <v>1</v>
      </c>
      <c r="Y13" s="79"/>
      <c r="Z13" s="60" t="s">
        <v>77</v>
      </c>
      <c r="AA13" s="79"/>
      <c r="AB13" s="79"/>
      <c r="AC13" s="22"/>
      <c r="AD13" s="22"/>
      <c r="AE13" s="22"/>
      <c r="AF13" s="79"/>
    </row>
    <row r="14" s="4" customFormat="true" ht="84" spans="1:32">
      <c r="A14" s="24"/>
      <c r="B14" s="23" t="s">
        <v>78</v>
      </c>
      <c r="C14" s="23"/>
      <c r="D14" s="23"/>
      <c r="E14" s="22" t="s">
        <v>79</v>
      </c>
      <c r="F14" s="58" t="s">
        <v>60</v>
      </c>
      <c r="G14" s="22">
        <v>105.61</v>
      </c>
      <c r="H14" s="59" t="s">
        <v>44</v>
      </c>
      <c r="I14" s="59" t="s">
        <v>44</v>
      </c>
      <c r="J14" s="24">
        <v>28</v>
      </c>
      <c r="K14" s="58" t="s">
        <v>69</v>
      </c>
      <c r="L14" s="62">
        <v>1000</v>
      </c>
      <c r="M14" s="62">
        <f>J14*L14*9/10000</f>
        <v>25.2</v>
      </c>
      <c r="N14" s="76">
        <f t="shared" si="4"/>
        <v>0.238613767635641</v>
      </c>
      <c r="O14" s="59">
        <f t="shared" si="0"/>
        <v>0.00298267209544551</v>
      </c>
      <c r="P14" s="58"/>
      <c r="Q14" s="62"/>
      <c r="R14" s="59"/>
      <c r="S14" s="76">
        <v>1000</v>
      </c>
      <c r="T14" s="76">
        <f t="shared" si="5"/>
        <v>25.2</v>
      </c>
      <c r="U14" s="59">
        <f t="shared" si="1"/>
        <v>1</v>
      </c>
      <c r="V14" s="76">
        <f t="shared" si="2"/>
        <v>0</v>
      </c>
      <c r="W14" s="76">
        <f t="shared" si="6"/>
        <v>0</v>
      </c>
      <c r="X14" s="59">
        <f t="shared" si="3"/>
        <v>0</v>
      </c>
      <c r="Y14" s="60" t="s">
        <v>80</v>
      </c>
      <c r="Z14" s="72" t="s">
        <v>81</v>
      </c>
      <c r="AA14" s="79"/>
      <c r="AB14" s="79"/>
      <c r="AC14" s="22"/>
      <c r="AD14" s="22"/>
      <c r="AE14" s="22"/>
      <c r="AF14" s="79"/>
    </row>
    <row r="15" s="4" customFormat="true" ht="36" spans="1:32">
      <c r="A15" s="24"/>
      <c r="B15" s="25" t="s">
        <v>82</v>
      </c>
      <c r="C15" s="26"/>
      <c r="D15" s="27"/>
      <c r="E15" s="60" t="s">
        <v>83</v>
      </c>
      <c r="F15" s="58" t="s">
        <v>60</v>
      </c>
      <c r="G15" s="22">
        <v>105.61</v>
      </c>
      <c r="H15" s="59"/>
      <c r="I15" s="59"/>
      <c r="J15" s="24">
        <v>7</v>
      </c>
      <c r="K15" s="58"/>
      <c r="L15" s="62">
        <v>1000</v>
      </c>
      <c r="M15" s="62">
        <v>8.4</v>
      </c>
      <c r="N15" s="76">
        <f t="shared" si="4"/>
        <v>0.0795379225452135</v>
      </c>
      <c r="O15" s="59"/>
      <c r="P15" s="58"/>
      <c r="Q15" s="62"/>
      <c r="R15" s="59"/>
      <c r="S15" s="76">
        <v>0</v>
      </c>
      <c r="T15" s="76">
        <v>0</v>
      </c>
      <c r="U15" s="59">
        <v>0</v>
      </c>
      <c r="V15" s="76">
        <v>0</v>
      </c>
      <c r="W15" s="76">
        <v>0</v>
      </c>
      <c r="X15" s="59">
        <v>0</v>
      </c>
      <c r="Y15" s="60"/>
      <c r="Z15" s="72"/>
      <c r="AA15" s="79"/>
      <c r="AB15" s="79"/>
      <c r="AC15" s="22"/>
      <c r="AD15" s="22"/>
      <c r="AE15" s="22"/>
      <c r="AF15" s="79"/>
    </row>
    <row r="16" s="4" customFormat="true" ht="72" spans="1:32">
      <c r="A16" s="24"/>
      <c r="B16" s="28"/>
      <c r="C16" s="29"/>
      <c r="D16" s="30"/>
      <c r="E16" s="60" t="s">
        <v>84</v>
      </c>
      <c r="F16" s="58" t="s">
        <v>60</v>
      </c>
      <c r="G16" s="22">
        <v>105.61</v>
      </c>
      <c r="H16" s="59" t="s">
        <v>44</v>
      </c>
      <c r="I16" s="59" t="s">
        <v>44</v>
      </c>
      <c r="J16" s="72">
        <v>21</v>
      </c>
      <c r="K16" s="58" t="s">
        <v>69</v>
      </c>
      <c r="L16" s="62">
        <v>800</v>
      </c>
      <c r="M16" s="62">
        <f>J16*L16*12/10000</f>
        <v>20.16</v>
      </c>
      <c r="N16" s="76">
        <f t="shared" ref="N16:N31" si="7">M16/G16</f>
        <v>0.190891014108512</v>
      </c>
      <c r="O16" s="59">
        <f t="shared" ref="O16:O30" si="8">N16/80</f>
        <v>0.00238613767635641</v>
      </c>
      <c r="P16" s="58"/>
      <c r="Q16" s="62"/>
      <c r="R16" s="59"/>
      <c r="S16" s="76">
        <v>800</v>
      </c>
      <c r="T16" s="76">
        <f t="shared" ref="T16:T30" si="9">U16*M16</f>
        <v>20.16</v>
      </c>
      <c r="U16" s="59">
        <f t="shared" ref="U16:U30" si="10">S16/L16</f>
        <v>1</v>
      </c>
      <c r="V16" s="76">
        <f t="shared" ref="V16:V30" si="11">L16-S16</f>
        <v>0</v>
      </c>
      <c r="W16" s="76">
        <f t="shared" ref="W16:W30" si="12">X16*M16</f>
        <v>0</v>
      </c>
      <c r="X16" s="59">
        <f t="shared" ref="X16:X30" si="13">V16/L16</f>
        <v>0</v>
      </c>
      <c r="Y16" s="79" t="s">
        <v>85</v>
      </c>
      <c r="Z16" s="60" t="s">
        <v>86</v>
      </c>
      <c r="AA16" s="79"/>
      <c r="AB16" s="79"/>
      <c r="AC16" s="22"/>
      <c r="AD16" s="22"/>
      <c r="AE16" s="22"/>
      <c r="AF16" s="79"/>
    </row>
    <row r="17" s="4" customFormat="true" ht="72" spans="1:32">
      <c r="A17" s="24"/>
      <c r="B17" s="31"/>
      <c r="C17" s="32"/>
      <c r="D17" s="33"/>
      <c r="E17" s="22" t="s">
        <v>87</v>
      </c>
      <c r="F17" s="58" t="s">
        <v>60</v>
      </c>
      <c r="G17" s="22">
        <v>105.61</v>
      </c>
      <c r="H17" s="59" t="s">
        <v>44</v>
      </c>
      <c r="I17" s="59" t="s">
        <v>44</v>
      </c>
      <c r="J17" s="72">
        <v>114</v>
      </c>
      <c r="K17" s="58" t="s">
        <v>69</v>
      </c>
      <c r="L17" s="62">
        <v>600</v>
      </c>
      <c r="M17" s="62">
        <f>J17*L17*6/10000</f>
        <v>41.04</v>
      </c>
      <c r="N17" s="76">
        <f t="shared" si="7"/>
        <v>0.388599564435186</v>
      </c>
      <c r="O17" s="59">
        <f t="shared" si="8"/>
        <v>0.00485749455543983</v>
      </c>
      <c r="P17" s="58"/>
      <c r="Q17" s="62"/>
      <c r="R17" s="59"/>
      <c r="S17" s="76">
        <v>0</v>
      </c>
      <c r="T17" s="76">
        <f t="shared" si="9"/>
        <v>0</v>
      </c>
      <c r="U17" s="59">
        <f t="shared" si="10"/>
        <v>0</v>
      </c>
      <c r="V17" s="76">
        <f t="shared" si="11"/>
        <v>600</v>
      </c>
      <c r="W17" s="76">
        <f t="shared" si="12"/>
        <v>41.04</v>
      </c>
      <c r="X17" s="59">
        <f t="shared" si="13"/>
        <v>1</v>
      </c>
      <c r="Y17" s="79"/>
      <c r="Z17" s="72" t="s">
        <v>88</v>
      </c>
      <c r="AA17" s="79"/>
      <c r="AB17" s="79"/>
      <c r="AC17" s="22"/>
      <c r="AD17" s="22"/>
      <c r="AE17" s="22"/>
      <c r="AF17" s="79"/>
    </row>
    <row r="18" s="4" customFormat="true" ht="96" spans="1:32">
      <c r="A18" s="24"/>
      <c r="B18" s="34" t="s">
        <v>89</v>
      </c>
      <c r="C18" s="35"/>
      <c r="D18" s="23"/>
      <c r="E18" s="22" t="s">
        <v>90</v>
      </c>
      <c r="F18" s="58" t="s">
        <v>60</v>
      </c>
      <c r="G18" s="22">
        <v>105.61</v>
      </c>
      <c r="H18" s="59" t="s">
        <v>44</v>
      </c>
      <c r="I18" s="59">
        <v>0.9</v>
      </c>
      <c r="J18" s="24">
        <v>87.96</v>
      </c>
      <c r="K18" s="58" t="s">
        <v>61</v>
      </c>
      <c r="L18" s="62">
        <v>0.6</v>
      </c>
      <c r="M18" s="62">
        <f>J18*L18*I18</f>
        <v>47.4984</v>
      </c>
      <c r="N18" s="76">
        <f t="shared" si="7"/>
        <v>0.449752864312092</v>
      </c>
      <c r="O18" s="59">
        <f t="shared" si="8"/>
        <v>0.00562191080390115</v>
      </c>
      <c r="P18" s="58"/>
      <c r="Q18" s="62"/>
      <c r="R18" s="59"/>
      <c r="S18" s="76">
        <v>0.08</v>
      </c>
      <c r="T18" s="76">
        <f t="shared" si="9"/>
        <v>6.33312</v>
      </c>
      <c r="U18" s="59">
        <f t="shared" si="10"/>
        <v>0.133333333333333</v>
      </c>
      <c r="V18" s="76">
        <f t="shared" si="11"/>
        <v>0.52</v>
      </c>
      <c r="W18" s="76">
        <f t="shared" si="12"/>
        <v>41.16528</v>
      </c>
      <c r="X18" s="59">
        <f t="shared" si="13"/>
        <v>0.866666666666667</v>
      </c>
      <c r="Y18" s="60" t="s">
        <v>91</v>
      </c>
      <c r="Z18" s="72" t="s">
        <v>92</v>
      </c>
      <c r="AA18" s="79"/>
      <c r="AB18" s="79"/>
      <c r="AC18" s="22"/>
      <c r="AD18" s="22"/>
      <c r="AE18" s="22"/>
      <c r="AF18" s="79"/>
    </row>
    <row r="19" s="4" customFormat="true" ht="108" spans="1:32">
      <c r="A19" s="22" t="s">
        <v>93</v>
      </c>
      <c r="B19" s="23" t="s">
        <v>94</v>
      </c>
      <c r="C19" s="23"/>
      <c r="D19" s="23"/>
      <c r="E19" s="22" t="s">
        <v>95</v>
      </c>
      <c r="F19" s="58">
        <v>10</v>
      </c>
      <c r="G19" s="22">
        <v>105.61</v>
      </c>
      <c r="H19" s="59">
        <v>0.9</v>
      </c>
      <c r="I19" s="59">
        <v>0.9</v>
      </c>
      <c r="J19" s="62">
        <v>1.2</v>
      </c>
      <c r="K19" s="58" t="s">
        <v>39</v>
      </c>
      <c r="L19" s="62">
        <v>190</v>
      </c>
      <c r="M19" s="62">
        <f>J19*L19*I19</f>
        <v>205.2</v>
      </c>
      <c r="N19" s="76">
        <f t="shared" si="7"/>
        <v>1.94299782217593</v>
      </c>
      <c r="O19" s="59">
        <f t="shared" si="8"/>
        <v>0.0242874727771991</v>
      </c>
      <c r="P19" s="58">
        <f>M19+M20+M21+M22</f>
        <v>523.8</v>
      </c>
      <c r="Q19" s="62">
        <f>N19+N20+N21+N22</f>
        <v>4.95975759871224</v>
      </c>
      <c r="R19" s="59">
        <f>P19/(G19*80)</f>
        <v>0.0619969699839031</v>
      </c>
      <c r="S19" s="76">
        <v>80</v>
      </c>
      <c r="T19" s="76">
        <f t="shared" si="9"/>
        <v>86.4</v>
      </c>
      <c r="U19" s="59">
        <f t="shared" si="10"/>
        <v>0.421052631578947</v>
      </c>
      <c r="V19" s="76">
        <f t="shared" si="11"/>
        <v>110</v>
      </c>
      <c r="W19" s="76">
        <f t="shared" si="12"/>
        <v>118.8</v>
      </c>
      <c r="X19" s="59">
        <f t="shared" si="13"/>
        <v>0.578947368421053</v>
      </c>
      <c r="Y19" s="79" t="s">
        <v>96</v>
      </c>
      <c r="Z19" s="60" t="s">
        <v>97</v>
      </c>
      <c r="AA19" s="79" t="s">
        <v>98</v>
      </c>
      <c r="AB19" s="79" t="s">
        <v>99</v>
      </c>
      <c r="AC19" s="22" t="s">
        <v>44</v>
      </c>
      <c r="AD19" s="22" t="s">
        <v>44</v>
      </c>
      <c r="AE19" s="22" t="s">
        <v>44</v>
      </c>
      <c r="AF19" s="83" t="s">
        <v>100</v>
      </c>
    </row>
    <row r="20" s="4" customFormat="true" ht="72" spans="1:32">
      <c r="A20" s="22"/>
      <c r="B20" s="23" t="s">
        <v>101</v>
      </c>
      <c r="C20" s="23"/>
      <c r="D20" s="23"/>
      <c r="E20" s="61" t="s">
        <v>102</v>
      </c>
      <c r="F20" s="58">
        <v>10</v>
      </c>
      <c r="G20" s="22">
        <v>105.61</v>
      </c>
      <c r="H20" s="59">
        <v>0.9</v>
      </c>
      <c r="I20" s="59">
        <v>0.9</v>
      </c>
      <c r="J20" s="62">
        <v>1.2</v>
      </c>
      <c r="K20" s="58" t="s">
        <v>39</v>
      </c>
      <c r="L20" s="62">
        <v>55</v>
      </c>
      <c r="M20" s="62">
        <f>J20*L20*I20*4</f>
        <v>237.6</v>
      </c>
      <c r="N20" s="76">
        <f t="shared" si="7"/>
        <v>2.24978695199318</v>
      </c>
      <c r="O20" s="59">
        <f t="shared" si="8"/>
        <v>0.0281223368999148</v>
      </c>
      <c r="P20" s="58"/>
      <c r="Q20" s="62"/>
      <c r="R20" s="59"/>
      <c r="S20" s="76">
        <v>40</v>
      </c>
      <c r="T20" s="76">
        <f t="shared" si="9"/>
        <v>172.8</v>
      </c>
      <c r="U20" s="59">
        <f t="shared" si="10"/>
        <v>0.727272727272727</v>
      </c>
      <c r="V20" s="76">
        <f t="shared" si="11"/>
        <v>15</v>
      </c>
      <c r="W20" s="76">
        <f t="shared" si="12"/>
        <v>64.8</v>
      </c>
      <c r="X20" s="59">
        <f t="shared" si="13"/>
        <v>0.272727272727273</v>
      </c>
      <c r="Y20" s="60" t="s">
        <v>103</v>
      </c>
      <c r="Z20" s="60" t="s">
        <v>104</v>
      </c>
      <c r="AA20" s="79"/>
      <c r="AB20" s="79"/>
      <c r="AC20" s="22"/>
      <c r="AD20" s="22"/>
      <c r="AE20" s="22"/>
      <c r="AF20" s="83"/>
    </row>
    <row r="21" s="4" customFormat="true" ht="72" spans="1:32">
      <c r="A21" s="22"/>
      <c r="B21" s="23" t="s">
        <v>105</v>
      </c>
      <c r="C21" s="23"/>
      <c r="D21" s="23"/>
      <c r="E21" s="22" t="s">
        <v>106</v>
      </c>
      <c r="F21" s="58">
        <v>15</v>
      </c>
      <c r="G21" s="22">
        <v>105.61</v>
      </c>
      <c r="H21" s="59">
        <v>0.9</v>
      </c>
      <c r="I21" s="59">
        <v>0.9</v>
      </c>
      <c r="J21" s="62">
        <v>1.2</v>
      </c>
      <c r="K21" s="58" t="s">
        <v>39</v>
      </c>
      <c r="L21" s="62">
        <v>35</v>
      </c>
      <c r="M21" s="62">
        <f>J21*L21*I21</f>
        <v>37.8</v>
      </c>
      <c r="N21" s="76">
        <f t="shared" si="7"/>
        <v>0.357920651453461</v>
      </c>
      <c r="O21" s="59">
        <f t="shared" si="8"/>
        <v>0.00447400814316826</v>
      </c>
      <c r="P21" s="58"/>
      <c r="Q21" s="62"/>
      <c r="R21" s="59"/>
      <c r="S21" s="76">
        <v>21</v>
      </c>
      <c r="T21" s="76">
        <f t="shared" si="9"/>
        <v>22.68</v>
      </c>
      <c r="U21" s="59">
        <f t="shared" si="10"/>
        <v>0.6</v>
      </c>
      <c r="V21" s="76">
        <v>24</v>
      </c>
      <c r="W21" s="76">
        <f t="shared" si="12"/>
        <v>25.92</v>
      </c>
      <c r="X21" s="59">
        <f t="shared" si="13"/>
        <v>0.685714285714286</v>
      </c>
      <c r="Y21" s="60" t="s">
        <v>107</v>
      </c>
      <c r="Z21" s="60" t="s">
        <v>108</v>
      </c>
      <c r="AA21" s="79"/>
      <c r="AB21" s="79"/>
      <c r="AC21" s="22"/>
      <c r="AD21" s="22"/>
      <c r="AE21" s="22"/>
      <c r="AF21" s="83"/>
    </row>
    <row r="22" s="4" customFormat="true" ht="48" spans="1:32">
      <c r="A22" s="22"/>
      <c r="B22" s="23" t="s">
        <v>109</v>
      </c>
      <c r="C22" s="23"/>
      <c r="D22" s="23"/>
      <c r="E22" s="22" t="s">
        <v>110</v>
      </c>
      <c r="F22" s="58">
        <v>10</v>
      </c>
      <c r="G22" s="22">
        <v>105.61</v>
      </c>
      <c r="H22" s="59">
        <v>0.9</v>
      </c>
      <c r="I22" s="59">
        <v>0.9</v>
      </c>
      <c r="J22" s="62">
        <v>1.2</v>
      </c>
      <c r="K22" s="58" t="s">
        <v>39</v>
      </c>
      <c r="L22" s="62">
        <v>40</v>
      </c>
      <c r="M22" s="62">
        <f>J22*L22*I22</f>
        <v>43.2</v>
      </c>
      <c r="N22" s="76">
        <f t="shared" si="7"/>
        <v>0.40905217308967</v>
      </c>
      <c r="O22" s="59">
        <f t="shared" si="8"/>
        <v>0.00511315216362087</v>
      </c>
      <c r="P22" s="58"/>
      <c r="Q22" s="62"/>
      <c r="R22" s="59"/>
      <c r="S22" s="76">
        <v>10</v>
      </c>
      <c r="T22" s="76">
        <f t="shared" si="9"/>
        <v>10.8</v>
      </c>
      <c r="U22" s="59">
        <f t="shared" si="10"/>
        <v>0.25</v>
      </c>
      <c r="V22" s="76">
        <v>30</v>
      </c>
      <c r="W22" s="76">
        <f t="shared" si="12"/>
        <v>32.4</v>
      </c>
      <c r="X22" s="59">
        <f t="shared" si="13"/>
        <v>0.75</v>
      </c>
      <c r="Y22" s="60" t="s">
        <v>111</v>
      </c>
      <c r="Z22" s="72" t="s">
        <v>112</v>
      </c>
      <c r="AA22" s="79"/>
      <c r="AB22" s="79"/>
      <c r="AC22" s="22"/>
      <c r="AD22" s="22"/>
      <c r="AE22" s="22"/>
      <c r="AF22" s="83"/>
    </row>
    <row r="23" s="4" customFormat="true" ht="72" spans="1:32">
      <c r="A23" s="22" t="s">
        <v>113</v>
      </c>
      <c r="B23" s="23" t="s">
        <v>114</v>
      </c>
      <c r="C23" s="23"/>
      <c r="D23" s="23"/>
      <c r="E23" s="22" t="s">
        <v>115</v>
      </c>
      <c r="F23" s="58">
        <v>15</v>
      </c>
      <c r="G23" s="22">
        <v>105.61</v>
      </c>
      <c r="H23" s="59">
        <v>0.9</v>
      </c>
      <c r="I23" s="59">
        <v>0.9</v>
      </c>
      <c r="J23" s="24">
        <v>1.2</v>
      </c>
      <c r="K23" s="58" t="s">
        <v>39</v>
      </c>
      <c r="L23" s="62">
        <v>35</v>
      </c>
      <c r="M23" s="62">
        <f>J23*L23*H23</f>
        <v>37.8</v>
      </c>
      <c r="N23" s="76">
        <f t="shared" si="7"/>
        <v>0.357920651453461</v>
      </c>
      <c r="O23" s="59">
        <f t="shared" si="8"/>
        <v>0.00447400814316826</v>
      </c>
      <c r="P23" s="58">
        <f>M23+M24+M27+M28+M25+M26</f>
        <v>1122</v>
      </c>
      <c r="Q23" s="62">
        <f>N23+N24+N27+N28+N25+N26</f>
        <v>10.6239939399678</v>
      </c>
      <c r="R23" s="59">
        <f>P23/(G23*80)</f>
        <v>0.132799924249598</v>
      </c>
      <c r="S23" s="76">
        <v>20</v>
      </c>
      <c r="T23" s="76">
        <f t="shared" si="9"/>
        <v>21.6</v>
      </c>
      <c r="U23" s="59">
        <f t="shared" si="10"/>
        <v>0.571428571428571</v>
      </c>
      <c r="V23" s="76">
        <v>20</v>
      </c>
      <c r="W23" s="76">
        <f t="shared" si="12"/>
        <v>21.6</v>
      </c>
      <c r="X23" s="59">
        <f t="shared" si="13"/>
        <v>0.571428571428571</v>
      </c>
      <c r="Y23" s="79" t="s">
        <v>116</v>
      </c>
      <c r="Z23" s="80" t="s">
        <v>117</v>
      </c>
      <c r="AA23" s="79" t="s">
        <v>118</v>
      </c>
      <c r="AB23" s="79" t="s">
        <v>119</v>
      </c>
      <c r="AC23" s="22" t="s">
        <v>44</v>
      </c>
      <c r="AD23" s="22" t="s">
        <v>44</v>
      </c>
      <c r="AE23" s="22" t="s">
        <v>44</v>
      </c>
      <c r="AF23" s="83" t="s">
        <v>120</v>
      </c>
    </row>
    <row r="24" s="4" customFormat="true" ht="48" spans="1:32">
      <c r="A24" s="22"/>
      <c r="B24" s="23" t="s">
        <v>121</v>
      </c>
      <c r="C24" s="23"/>
      <c r="D24" s="23"/>
      <c r="E24" s="22" t="s">
        <v>122</v>
      </c>
      <c r="F24" s="58">
        <v>10</v>
      </c>
      <c r="G24" s="22">
        <v>105.61</v>
      </c>
      <c r="H24" s="59">
        <v>0.9</v>
      </c>
      <c r="I24" s="59">
        <v>0.9</v>
      </c>
      <c r="J24" s="24">
        <v>1.2</v>
      </c>
      <c r="K24" s="58" t="s">
        <v>39</v>
      </c>
      <c r="L24" s="62">
        <v>35</v>
      </c>
      <c r="M24" s="62">
        <f>J24*L24*H24</f>
        <v>37.8</v>
      </c>
      <c r="N24" s="76">
        <f t="shared" si="7"/>
        <v>0.357920651453461</v>
      </c>
      <c r="O24" s="59">
        <f t="shared" si="8"/>
        <v>0.00447400814316826</v>
      </c>
      <c r="P24" s="58"/>
      <c r="Q24" s="62"/>
      <c r="R24" s="59"/>
      <c r="S24" s="76">
        <v>20</v>
      </c>
      <c r="T24" s="76">
        <f t="shared" si="9"/>
        <v>21.6</v>
      </c>
      <c r="U24" s="59">
        <f t="shared" si="10"/>
        <v>0.571428571428571</v>
      </c>
      <c r="V24" s="76">
        <f t="shared" si="11"/>
        <v>15</v>
      </c>
      <c r="W24" s="76">
        <f t="shared" si="12"/>
        <v>16.2</v>
      </c>
      <c r="X24" s="59">
        <f t="shared" si="13"/>
        <v>0.428571428571429</v>
      </c>
      <c r="Y24" s="60" t="s">
        <v>123</v>
      </c>
      <c r="Z24" s="80" t="s">
        <v>124</v>
      </c>
      <c r="AA24" s="79"/>
      <c r="AB24" s="79"/>
      <c r="AC24" s="22"/>
      <c r="AD24" s="22"/>
      <c r="AE24" s="22"/>
      <c r="AF24" s="83"/>
    </row>
    <row r="25" s="4" customFormat="true" ht="48" spans="1:32">
      <c r="A25" s="22"/>
      <c r="B25" s="23" t="s">
        <v>125</v>
      </c>
      <c r="C25" s="23"/>
      <c r="D25" s="23"/>
      <c r="E25" s="61" t="s">
        <v>126</v>
      </c>
      <c r="F25" s="58">
        <v>10</v>
      </c>
      <c r="G25" s="22">
        <v>105.61</v>
      </c>
      <c r="H25" s="59">
        <v>0.9</v>
      </c>
      <c r="I25" s="59">
        <v>0.9</v>
      </c>
      <c r="J25" s="72">
        <v>1.2</v>
      </c>
      <c r="K25" s="58" t="s">
        <v>39</v>
      </c>
      <c r="L25" s="62">
        <v>35</v>
      </c>
      <c r="M25" s="62">
        <f>J25*L25</f>
        <v>42</v>
      </c>
      <c r="N25" s="76">
        <f t="shared" si="7"/>
        <v>0.397689612726068</v>
      </c>
      <c r="O25" s="59">
        <f t="shared" si="8"/>
        <v>0.00497112015907585</v>
      </c>
      <c r="P25" s="58"/>
      <c r="Q25" s="62"/>
      <c r="R25" s="59"/>
      <c r="S25" s="76">
        <f t="shared" ref="S24:S27" si="14">L25</f>
        <v>35</v>
      </c>
      <c r="T25" s="76">
        <f t="shared" si="9"/>
        <v>42</v>
      </c>
      <c r="U25" s="59">
        <f t="shared" si="10"/>
        <v>1</v>
      </c>
      <c r="V25" s="76">
        <f t="shared" si="11"/>
        <v>0</v>
      </c>
      <c r="W25" s="76">
        <f t="shared" si="12"/>
        <v>0</v>
      </c>
      <c r="X25" s="59">
        <f t="shared" si="13"/>
        <v>0</v>
      </c>
      <c r="Y25" s="79" t="s">
        <v>127</v>
      </c>
      <c r="Z25" s="80" t="s">
        <v>128</v>
      </c>
      <c r="AA25" s="79"/>
      <c r="AB25" s="79"/>
      <c r="AC25" s="22"/>
      <c r="AD25" s="22"/>
      <c r="AE25" s="22"/>
      <c r="AF25" s="83"/>
    </row>
    <row r="26" s="4" customFormat="true" ht="60" spans="1:32">
      <c r="A26" s="22"/>
      <c r="B26" s="23"/>
      <c r="C26" s="23"/>
      <c r="D26" s="23"/>
      <c r="E26" s="61"/>
      <c r="F26" s="58">
        <v>10</v>
      </c>
      <c r="G26" s="22">
        <v>105.61</v>
      </c>
      <c r="H26" s="59">
        <v>0.9</v>
      </c>
      <c r="I26" s="59">
        <v>0.9</v>
      </c>
      <c r="J26" s="72">
        <v>1.2</v>
      </c>
      <c r="K26" s="58" t="s">
        <v>39</v>
      </c>
      <c r="L26" s="62">
        <v>50</v>
      </c>
      <c r="M26" s="62">
        <f>J26*L26*I26*3</f>
        <v>162</v>
      </c>
      <c r="N26" s="76">
        <f t="shared" si="7"/>
        <v>1.53394564908626</v>
      </c>
      <c r="O26" s="59">
        <f t="shared" si="8"/>
        <v>0.0191743206135783</v>
      </c>
      <c r="P26" s="58"/>
      <c r="Q26" s="62"/>
      <c r="R26" s="59"/>
      <c r="S26" s="76">
        <f t="shared" si="14"/>
        <v>50</v>
      </c>
      <c r="T26" s="76">
        <f t="shared" si="9"/>
        <v>162</v>
      </c>
      <c r="U26" s="59">
        <f t="shared" si="10"/>
        <v>1</v>
      </c>
      <c r="V26" s="76">
        <f t="shared" si="11"/>
        <v>0</v>
      </c>
      <c r="W26" s="76">
        <f t="shared" si="12"/>
        <v>0</v>
      </c>
      <c r="X26" s="59">
        <f t="shared" si="13"/>
        <v>0</v>
      </c>
      <c r="Y26" s="79"/>
      <c r="Z26" s="80" t="s">
        <v>129</v>
      </c>
      <c r="AA26" s="79"/>
      <c r="AB26" s="79"/>
      <c r="AC26" s="22"/>
      <c r="AD26" s="22"/>
      <c r="AE26" s="22"/>
      <c r="AF26" s="83"/>
    </row>
    <row r="27" s="4" customFormat="true" ht="72" spans="1:32">
      <c r="A27" s="22"/>
      <c r="B27" s="23"/>
      <c r="C27" s="23"/>
      <c r="D27" s="23"/>
      <c r="E27" s="61"/>
      <c r="F27" s="58">
        <v>10</v>
      </c>
      <c r="G27" s="22">
        <v>105.61</v>
      </c>
      <c r="H27" s="59">
        <v>0.9</v>
      </c>
      <c r="I27" s="59">
        <v>0.9</v>
      </c>
      <c r="J27" s="72">
        <v>1.2</v>
      </c>
      <c r="K27" s="58" t="s">
        <v>39</v>
      </c>
      <c r="L27" s="62">
        <v>45</v>
      </c>
      <c r="M27" s="62">
        <f>J27*L27*I27*4</f>
        <v>194.4</v>
      </c>
      <c r="N27" s="76">
        <f t="shared" si="7"/>
        <v>1.84073477890351</v>
      </c>
      <c r="O27" s="59">
        <f t="shared" si="8"/>
        <v>0.0230091847362939</v>
      </c>
      <c r="P27" s="58"/>
      <c r="Q27" s="62"/>
      <c r="R27" s="59"/>
      <c r="S27" s="76">
        <f t="shared" si="14"/>
        <v>45</v>
      </c>
      <c r="T27" s="76">
        <f t="shared" si="9"/>
        <v>194.4</v>
      </c>
      <c r="U27" s="59">
        <f t="shared" si="10"/>
        <v>1</v>
      </c>
      <c r="V27" s="76">
        <f t="shared" si="11"/>
        <v>0</v>
      </c>
      <c r="W27" s="76">
        <f t="shared" si="12"/>
        <v>0</v>
      </c>
      <c r="X27" s="59">
        <f t="shared" si="13"/>
        <v>0</v>
      </c>
      <c r="Y27" s="79"/>
      <c r="Z27" s="80" t="s">
        <v>130</v>
      </c>
      <c r="AA27" s="79"/>
      <c r="AB27" s="79"/>
      <c r="AC27" s="22"/>
      <c r="AD27" s="22"/>
      <c r="AE27" s="22"/>
      <c r="AF27" s="83"/>
    </row>
    <row r="28" s="4" customFormat="true" ht="84" spans="1:32">
      <c r="A28" s="22"/>
      <c r="B28" s="23" t="s">
        <v>131</v>
      </c>
      <c r="C28" s="23"/>
      <c r="D28" s="23"/>
      <c r="E28" s="61" t="s">
        <v>132</v>
      </c>
      <c r="F28" s="58">
        <v>10</v>
      </c>
      <c r="G28" s="22">
        <v>105.61</v>
      </c>
      <c r="H28" s="59">
        <v>0.9</v>
      </c>
      <c r="I28" s="59">
        <v>0.9</v>
      </c>
      <c r="J28" s="72">
        <v>3</v>
      </c>
      <c r="K28" s="58" t="s">
        <v>39</v>
      </c>
      <c r="L28" s="62">
        <v>80</v>
      </c>
      <c r="M28" s="62">
        <f>J28*L28*I28*3</f>
        <v>648</v>
      </c>
      <c r="N28" s="76">
        <f t="shared" si="7"/>
        <v>6.13578259634504</v>
      </c>
      <c r="O28" s="59">
        <f t="shared" si="8"/>
        <v>0.076697282454313</v>
      </c>
      <c r="P28" s="58"/>
      <c r="Q28" s="62"/>
      <c r="R28" s="59"/>
      <c r="S28" s="76">
        <v>46</v>
      </c>
      <c r="T28" s="76">
        <f t="shared" si="9"/>
        <v>372.6</v>
      </c>
      <c r="U28" s="59">
        <f t="shared" si="10"/>
        <v>0.575</v>
      </c>
      <c r="V28" s="76">
        <f t="shared" si="11"/>
        <v>34</v>
      </c>
      <c r="W28" s="76">
        <f t="shared" si="12"/>
        <v>275.4</v>
      </c>
      <c r="X28" s="59">
        <f t="shared" si="13"/>
        <v>0.425</v>
      </c>
      <c r="Y28" s="60" t="s">
        <v>133</v>
      </c>
      <c r="Z28" s="79" t="s">
        <v>134</v>
      </c>
      <c r="AA28" s="79"/>
      <c r="AB28" s="79"/>
      <c r="AC28" s="22"/>
      <c r="AD28" s="22"/>
      <c r="AE28" s="22"/>
      <c r="AF28" s="83"/>
    </row>
    <row r="29" s="4" customFormat="true" ht="96" spans="1:32">
      <c r="A29" s="36" t="s">
        <v>135</v>
      </c>
      <c r="B29" s="23" t="s">
        <v>136</v>
      </c>
      <c r="C29" s="23"/>
      <c r="D29" s="23"/>
      <c r="E29" s="22" t="s">
        <v>137</v>
      </c>
      <c r="F29" s="62">
        <v>5</v>
      </c>
      <c r="G29" s="22">
        <v>105.61</v>
      </c>
      <c r="H29" s="59">
        <v>1</v>
      </c>
      <c r="I29" s="59">
        <v>1</v>
      </c>
      <c r="J29" s="72">
        <v>8.3</v>
      </c>
      <c r="K29" s="62" t="s">
        <v>39</v>
      </c>
      <c r="L29" s="62">
        <v>25</v>
      </c>
      <c r="M29" s="62">
        <f>J29*L29*I29</f>
        <v>207.5</v>
      </c>
      <c r="N29" s="76">
        <f t="shared" si="7"/>
        <v>1.96477606287283</v>
      </c>
      <c r="O29" s="59">
        <f t="shared" si="8"/>
        <v>0.0245597007859104</v>
      </c>
      <c r="P29" s="58">
        <f>M29+M30</f>
        <v>694.38</v>
      </c>
      <c r="Q29" s="62">
        <f>N29+N30</f>
        <v>6.57494555439826</v>
      </c>
      <c r="R29" s="59">
        <f>P29/(G29*80)</f>
        <v>0.0821868194299782</v>
      </c>
      <c r="S29" s="76">
        <v>15</v>
      </c>
      <c r="T29" s="76">
        <f t="shared" si="9"/>
        <v>124.5</v>
      </c>
      <c r="U29" s="59">
        <f t="shared" si="10"/>
        <v>0.6</v>
      </c>
      <c r="V29" s="76">
        <f t="shared" si="11"/>
        <v>10</v>
      </c>
      <c r="W29" s="76">
        <f t="shared" si="12"/>
        <v>83</v>
      </c>
      <c r="X29" s="59">
        <f t="shared" si="13"/>
        <v>0.4</v>
      </c>
      <c r="Y29" s="79" t="s">
        <v>138</v>
      </c>
      <c r="Z29" s="60" t="s">
        <v>139</v>
      </c>
      <c r="AA29" s="79" t="s">
        <v>140</v>
      </c>
      <c r="AB29" s="79" t="s">
        <v>141</v>
      </c>
      <c r="AC29" s="22" t="s">
        <v>44</v>
      </c>
      <c r="AD29" s="22" t="s">
        <v>44</v>
      </c>
      <c r="AE29" s="22" t="s">
        <v>44</v>
      </c>
      <c r="AF29" s="83" t="s">
        <v>142</v>
      </c>
    </row>
    <row r="30" s="4" customFormat="true" ht="132" spans="1:32">
      <c r="A30" s="37"/>
      <c r="B30" s="25" t="s">
        <v>143</v>
      </c>
      <c r="C30" s="26"/>
      <c r="D30" s="27"/>
      <c r="E30" s="22" t="s">
        <v>144</v>
      </c>
      <c r="F30" s="62">
        <v>10</v>
      </c>
      <c r="G30" s="22">
        <v>105.61</v>
      </c>
      <c r="H30" s="59">
        <v>1</v>
      </c>
      <c r="I30" s="59">
        <v>1</v>
      </c>
      <c r="J30" s="24">
        <v>30.43</v>
      </c>
      <c r="K30" s="62" t="s">
        <v>145</v>
      </c>
      <c r="L30" s="62">
        <v>16</v>
      </c>
      <c r="M30" s="62">
        <f>J30*L30*I30</f>
        <v>486.88</v>
      </c>
      <c r="N30" s="76">
        <f t="shared" si="7"/>
        <v>4.61016949152542</v>
      </c>
      <c r="O30" s="59">
        <f t="shared" si="8"/>
        <v>0.0576271186440678</v>
      </c>
      <c r="P30" s="58"/>
      <c r="Q30" s="62"/>
      <c r="R30" s="59"/>
      <c r="S30" s="76">
        <f>L30</f>
        <v>16</v>
      </c>
      <c r="T30" s="76">
        <f t="shared" si="9"/>
        <v>486.88</v>
      </c>
      <c r="U30" s="59">
        <f t="shared" si="10"/>
        <v>1</v>
      </c>
      <c r="V30" s="76">
        <f t="shared" si="11"/>
        <v>0</v>
      </c>
      <c r="W30" s="76">
        <f t="shared" si="12"/>
        <v>0</v>
      </c>
      <c r="X30" s="59">
        <f t="shared" si="13"/>
        <v>0</v>
      </c>
      <c r="Y30" s="79" t="s">
        <v>146</v>
      </c>
      <c r="Z30" s="60" t="s">
        <v>147</v>
      </c>
      <c r="AA30" s="79"/>
      <c r="AB30" s="79"/>
      <c r="AC30" s="22"/>
      <c r="AD30" s="22"/>
      <c r="AE30" s="22"/>
      <c r="AF30" s="79"/>
    </row>
    <row r="31" s="4" customFormat="true" ht="24" spans="1:32">
      <c r="A31" s="38"/>
      <c r="B31" s="31"/>
      <c r="C31" s="32"/>
      <c r="D31" s="33"/>
      <c r="E31" s="22" t="s">
        <v>148</v>
      </c>
      <c r="F31" s="62" t="s">
        <v>60</v>
      </c>
      <c r="G31" s="22">
        <v>105.61</v>
      </c>
      <c r="H31" s="59"/>
      <c r="I31" s="59"/>
      <c r="J31" s="24"/>
      <c r="K31" s="62"/>
      <c r="L31" s="62"/>
      <c r="M31" s="62">
        <v>49.76</v>
      </c>
      <c r="N31" s="76">
        <f t="shared" si="7"/>
        <v>0.47116750307736</v>
      </c>
      <c r="O31" s="59"/>
      <c r="P31" s="58"/>
      <c r="Q31" s="62"/>
      <c r="R31" s="59"/>
      <c r="S31" s="76"/>
      <c r="T31" s="76"/>
      <c r="U31" s="59"/>
      <c r="V31" s="76"/>
      <c r="W31" s="76"/>
      <c r="X31" s="59"/>
      <c r="Y31" s="79"/>
      <c r="Z31" s="60"/>
      <c r="AA31" s="79"/>
      <c r="AB31" s="79"/>
      <c r="AC31" s="22"/>
      <c r="AD31" s="22"/>
      <c r="AE31" s="22"/>
      <c r="AF31" s="79"/>
    </row>
    <row r="32" s="4" customFormat="true" ht="84" spans="1:32">
      <c r="A32" s="22" t="s">
        <v>149</v>
      </c>
      <c r="B32" s="23" t="s">
        <v>150</v>
      </c>
      <c r="C32" s="23"/>
      <c r="D32" s="23"/>
      <c r="E32" s="22" t="s">
        <v>151</v>
      </c>
      <c r="F32" s="62">
        <v>5</v>
      </c>
      <c r="G32" s="22">
        <v>105.61</v>
      </c>
      <c r="H32" s="63">
        <v>0.65</v>
      </c>
      <c r="I32" s="63">
        <v>0.65</v>
      </c>
      <c r="J32" s="62">
        <v>7.7201</v>
      </c>
      <c r="K32" s="62" t="s">
        <v>39</v>
      </c>
      <c r="L32" s="62">
        <v>10</v>
      </c>
      <c r="M32" s="62">
        <f>J32*L32*I32</f>
        <v>50.18065</v>
      </c>
      <c r="N32" s="76">
        <f t="shared" ref="N32:N50" si="15">M32/G32</f>
        <v>0.475150553924818</v>
      </c>
      <c r="O32" s="59">
        <f t="shared" ref="O32:O50" si="16">N32/80</f>
        <v>0.00593938192406022</v>
      </c>
      <c r="P32" s="58">
        <f>M32+M33+M34+M35</f>
        <v>1405.05625</v>
      </c>
      <c r="Q32" s="62">
        <f>N32+N33+N34+N35</f>
        <v>13.3041970457343</v>
      </c>
      <c r="R32" s="59">
        <f>P32/(G32*80)</f>
        <v>0.166302463071679</v>
      </c>
      <c r="S32" s="76">
        <v>2</v>
      </c>
      <c r="T32" s="76">
        <f t="shared" ref="T32:T50" si="17">U32*M32</f>
        <v>10.03613</v>
      </c>
      <c r="U32" s="59">
        <f t="shared" ref="U32:U56" si="18">S32/L32</f>
        <v>0.2</v>
      </c>
      <c r="V32" s="76">
        <f t="shared" ref="V32:V54" si="19">L32-S32</f>
        <v>8</v>
      </c>
      <c r="W32" s="76">
        <f t="shared" ref="W32:W56" si="20">X32*M32</f>
        <v>40.14452</v>
      </c>
      <c r="X32" s="59">
        <f t="shared" ref="X32:X56" si="21">V32/L32</f>
        <v>0.8</v>
      </c>
      <c r="Y32" s="80" t="s">
        <v>152</v>
      </c>
      <c r="Z32" s="80" t="s">
        <v>153</v>
      </c>
      <c r="AA32" s="79" t="s">
        <v>154</v>
      </c>
      <c r="AB32" s="79" t="s">
        <v>155</v>
      </c>
      <c r="AC32" s="79"/>
      <c r="AD32" s="79"/>
      <c r="AE32" s="79"/>
      <c r="AF32" s="83" t="s">
        <v>156</v>
      </c>
    </row>
    <row r="33" s="4" customFormat="true" ht="48" spans="1:32">
      <c r="A33" s="22"/>
      <c r="B33" s="23" t="s">
        <v>157</v>
      </c>
      <c r="C33" s="23"/>
      <c r="D33" s="23"/>
      <c r="E33" s="22" t="s">
        <v>158</v>
      </c>
      <c r="F33" s="62">
        <v>10</v>
      </c>
      <c r="G33" s="22">
        <v>105.61</v>
      </c>
      <c r="H33" s="63">
        <v>0.65</v>
      </c>
      <c r="I33" s="63">
        <v>0.65</v>
      </c>
      <c r="J33" s="62">
        <v>7.72</v>
      </c>
      <c r="K33" s="62" t="s">
        <v>39</v>
      </c>
      <c r="L33" s="62">
        <v>30</v>
      </c>
      <c r="M33" s="62">
        <f>J33*L33*I33</f>
        <v>150.54</v>
      </c>
      <c r="N33" s="76">
        <f t="shared" si="15"/>
        <v>1.42543319761386</v>
      </c>
      <c r="O33" s="59">
        <f t="shared" si="16"/>
        <v>0.0178179149701733</v>
      </c>
      <c r="P33" s="58"/>
      <c r="Q33" s="62"/>
      <c r="R33" s="59"/>
      <c r="S33" s="76">
        <v>15</v>
      </c>
      <c r="T33" s="76">
        <f t="shared" si="17"/>
        <v>75.27</v>
      </c>
      <c r="U33" s="59">
        <f t="shared" si="18"/>
        <v>0.5</v>
      </c>
      <c r="V33" s="76">
        <f t="shared" si="19"/>
        <v>15</v>
      </c>
      <c r="W33" s="76">
        <f t="shared" si="20"/>
        <v>75.27</v>
      </c>
      <c r="X33" s="59">
        <f t="shared" si="21"/>
        <v>0.5</v>
      </c>
      <c r="Y33" s="80" t="s">
        <v>159</v>
      </c>
      <c r="Z33" s="72" t="s">
        <v>160</v>
      </c>
      <c r="AA33" s="79"/>
      <c r="AB33" s="79"/>
      <c r="AC33" s="79"/>
      <c r="AD33" s="79"/>
      <c r="AE33" s="79"/>
      <c r="AF33" s="79"/>
    </row>
    <row r="34" s="4" customFormat="true" ht="192" spans="1:32">
      <c r="A34" s="22"/>
      <c r="B34" s="23" t="s">
        <v>161</v>
      </c>
      <c r="C34" s="23"/>
      <c r="D34" s="23"/>
      <c r="E34" s="22" t="s">
        <v>162</v>
      </c>
      <c r="F34" s="62">
        <v>10</v>
      </c>
      <c r="G34" s="22">
        <v>105.61</v>
      </c>
      <c r="H34" s="63">
        <v>0.65</v>
      </c>
      <c r="I34" s="63">
        <v>0.65</v>
      </c>
      <c r="J34" s="62">
        <v>7.7201</v>
      </c>
      <c r="K34" s="62" t="s">
        <v>39</v>
      </c>
      <c r="L34" s="62">
        <v>230</v>
      </c>
      <c r="M34" s="62">
        <f>J34*L34*I34</f>
        <v>1154.15495</v>
      </c>
      <c r="N34" s="76">
        <f t="shared" si="15"/>
        <v>10.9284627402708</v>
      </c>
      <c r="O34" s="59">
        <f t="shared" si="16"/>
        <v>0.136605784253385</v>
      </c>
      <c r="P34" s="58"/>
      <c r="Q34" s="62"/>
      <c r="R34" s="59"/>
      <c r="S34" s="76">
        <v>149</v>
      </c>
      <c r="T34" s="76">
        <f t="shared" si="17"/>
        <v>747.691685</v>
      </c>
      <c r="U34" s="59">
        <f t="shared" si="18"/>
        <v>0.647826086956522</v>
      </c>
      <c r="V34" s="76">
        <f t="shared" si="19"/>
        <v>81</v>
      </c>
      <c r="W34" s="76">
        <f t="shared" si="20"/>
        <v>406.463265</v>
      </c>
      <c r="X34" s="59">
        <f t="shared" si="21"/>
        <v>0.352173913043478</v>
      </c>
      <c r="Y34" s="80" t="s">
        <v>163</v>
      </c>
      <c r="Z34" s="60" t="s">
        <v>164</v>
      </c>
      <c r="AA34" s="79"/>
      <c r="AB34" s="79"/>
      <c r="AC34" s="79"/>
      <c r="AD34" s="79"/>
      <c r="AE34" s="79"/>
      <c r="AF34" s="79"/>
    </row>
    <row r="35" s="4" customFormat="true" ht="36" spans="1:32">
      <c r="A35" s="22"/>
      <c r="B35" s="23" t="s">
        <v>165</v>
      </c>
      <c r="C35" s="23"/>
      <c r="D35" s="23"/>
      <c r="E35" s="22" t="s">
        <v>166</v>
      </c>
      <c r="F35" s="62">
        <v>5</v>
      </c>
      <c r="G35" s="22">
        <v>105.61</v>
      </c>
      <c r="H35" s="63">
        <v>0.65</v>
      </c>
      <c r="I35" s="63">
        <v>0.65</v>
      </c>
      <c r="J35" s="62">
        <v>7.7201</v>
      </c>
      <c r="K35" s="62" t="s">
        <v>39</v>
      </c>
      <c r="L35" s="62">
        <v>10</v>
      </c>
      <c r="M35" s="62">
        <f>J35*L35*I35</f>
        <v>50.18065</v>
      </c>
      <c r="N35" s="76">
        <f t="shared" si="15"/>
        <v>0.475150553924818</v>
      </c>
      <c r="O35" s="59">
        <f t="shared" si="16"/>
        <v>0.00593938192406022</v>
      </c>
      <c r="P35" s="58"/>
      <c r="Q35" s="62"/>
      <c r="R35" s="59"/>
      <c r="S35" s="76">
        <v>2</v>
      </c>
      <c r="T35" s="76">
        <f t="shared" si="17"/>
        <v>10.03613</v>
      </c>
      <c r="U35" s="59">
        <f t="shared" si="18"/>
        <v>0.2</v>
      </c>
      <c r="V35" s="76">
        <f t="shared" si="19"/>
        <v>8</v>
      </c>
      <c r="W35" s="76">
        <f t="shared" si="20"/>
        <v>40.14452</v>
      </c>
      <c r="X35" s="59">
        <f t="shared" si="21"/>
        <v>0.8</v>
      </c>
      <c r="Y35" s="80" t="s">
        <v>167</v>
      </c>
      <c r="Z35" s="60" t="s">
        <v>168</v>
      </c>
      <c r="AA35" s="79"/>
      <c r="AB35" s="79"/>
      <c r="AC35" s="79"/>
      <c r="AD35" s="79"/>
      <c r="AE35" s="79"/>
      <c r="AF35" s="79"/>
    </row>
    <row r="36" s="4" customFormat="true" ht="60" spans="1:32">
      <c r="A36" s="22" t="s">
        <v>169</v>
      </c>
      <c r="B36" s="39" t="s">
        <v>170</v>
      </c>
      <c r="C36" s="40"/>
      <c r="D36" s="40"/>
      <c r="E36" s="64"/>
      <c r="F36" s="58">
        <v>5</v>
      </c>
      <c r="G36" s="22">
        <v>105.61</v>
      </c>
      <c r="H36" s="59" t="s">
        <v>44</v>
      </c>
      <c r="I36" s="59">
        <v>0.45</v>
      </c>
      <c r="J36" s="62">
        <v>6</v>
      </c>
      <c r="K36" s="58" t="s">
        <v>39</v>
      </c>
      <c r="L36" s="62">
        <v>10</v>
      </c>
      <c r="M36" s="62">
        <f>J36*L36</f>
        <v>60</v>
      </c>
      <c r="N36" s="76">
        <f t="shared" si="15"/>
        <v>0.568128018180097</v>
      </c>
      <c r="O36" s="59">
        <f t="shared" si="16"/>
        <v>0.00710160022725121</v>
      </c>
      <c r="P36" s="58">
        <f>SUM(M36:M40)</f>
        <v>991.89936609</v>
      </c>
      <c r="Q36" s="62">
        <f>SUM(N36:N40)</f>
        <v>9.3920970181801</v>
      </c>
      <c r="R36" s="59">
        <f>P36/(G36*80)</f>
        <v>0.117401212727251</v>
      </c>
      <c r="S36" s="76">
        <v>0</v>
      </c>
      <c r="T36" s="76">
        <f t="shared" si="17"/>
        <v>0</v>
      </c>
      <c r="U36" s="59">
        <f t="shared" si="18"/>
        <v>0</v>
      </c>
      <c r="V36" s="76">
        <f t="shared" si="19"/>
        <v>10</v>
      </c>
      <c r="W36" s="76">
        <f t="shared" si="20"/>
        <v>60</v>
      </c>
      <c r="X36" s="59">
        <f t="shared" si="21"/>
        <v>1</v>
      </c>
      <c r="Y36" s="79" t="s">
        <v>171</v>
      </c>
      <c r="Z36" s="60" t="s">
        <v>172</v>
      </c>
      <c r="AA36" s="80" t="s">
        <v>173</v>
      </c>
      <c r="AB36" s="79" t="s">
        <v>174</v>
      </c>
      <c r="AC36" s="79" t="s">
        <v>175</v>
      </c>
      <c r="AD36" s="79" t="s">
        <v>176</v>
      </c>
      <c r="AE36" s="79" t="s">
        <v>177</v>
      </c>
      <c r="AF36" s="83" t="s">
        <v>178</v>
      </c>
    </row>
    <row r="37" s="4" customFormat="true" ht="48" spans="1:32">
      <c r="A37" s="22"/>
      <c r="B37" s="41" t="s">
        <v>179</v>
      </c>
      <c r="C37" s="41"/>
      <c r="D37" s="23" t="s">
        <v>180</v>
      </c>
      <c r="E37" s="22" t="s">
        <v>181</v>
      </c>
      <c r="F37" s="58">
        <v>10</v>
      </c>
      <c r="G37" s="22">
        <v>105.61</v>
      </c>
      <c r="H37" s="59">
        <v>0.75</v>
      </c>
      <c r="I37" s="59">
        <v>0.6</v>
      </c>
      <c r="J37" s="62">
        <f>G37*0.749*0.187*0.4*H37*I37</f>
        <v>2.6625696174</v>
      </c>
      <c r="K37" s="58" t="s">
        <v>39</v>
      </c>
      <c r="L37" s="62">
        <v>35</v>
      </c>
      <c r="M37" s="62">
        <f t="shared" ref="M37:M39" si="22">J37*L37*4</f>
        <v>372.759746436</v>
      </c>
      <c r="N37" s="76">
        <f t="shared" si="15"/>
        <v>3.5295876</v>
      </c>
      <c r="O37" s="59">
        <f t="shared" si="16"/>
        <v>0.044119845</v>
      </c>
      <c r="P37" s="58"/>
      <c r="Q37" s="62"/>
      <c r="R37" s="59"/>
      <c r="S37" s="76">
        <v>5</v>
      </c>
      <c r="T37" s="76">
        <f t="shared" si="17"/>
        <v>53.251392348</v>
      </c>
      <c r="U37" s="59">
        <f t="shared" si="18"/>
        <v>0.142857142857143</v>
      </c>
      <c r="V37" s="76">
        <f t="shared" si="19"/>
        <v>30</v>
      </c>
      <c r="W37" s="76">
        <f t="shared" si="20"/>
        <v>319.508354088</v>
      </c>
      <c r="X37" s="59">
        <f t="shared" si="21"/>
        <v>0.857142857142857</v>
      </c>
      <c r="Y37" s="79" t="s">
        <v>182</v>
      </c>
      <c r="Z37" s="22" t="s">
        <v>183</v>
      </c>
      <c r="AA37" s="80"/>
      <c r="AB37" s="79"/>
      <c r="AC37" s="79"/>
      <c r="AD37" s="79"/>
      <c r="AE37" s="79"/>
      <c r="AF37" s="83"/>
    </row>
    <row r="38" s="4" customFormat="true" ht="24" spans="1:32">
      <c r="A38" s="22"/>
      <c r="B38" s="41"/>
      <c r="C38" s="41"/>
      <c r="D38" s="23" t="s">
        <v>184</v>
      </c>
      <c r="E38" s="22" t="s">
        <v>185</v>
      </c>
      <c r="F38" s="58">
        <v>10</v>
      </c>
      <c r="G38" s="22">
        <v>105.61</v>
      </c>
      <c r="H38" s="59">
        <v>0.75</v>
      </c>
      <c r="I38" s="59">
        <v>0.3</v>
      </c>
      <c r="J38" s="62">
        <f>G38*0.749*0.187*0.4*H38*I38</f>
        <v>1.3312848087</v>
      </c>
      <c r="K38" s="58" t="s">
        <v>39</v>
      </c>
      <c r="L38" s="62">
        <v>50</v>
      </c>
      <c r="M38" s="62">
        <f t="shared" si="22"/>
        <v>266.25696174</v>
      </c>
      <c r="N38" s="76">
        <f t="shared" si="15"/>
        <v>2.521134</v>
      </c>
      <c r="O38" s="59">
        <f t="shared" si="16"/>
        <v>0.031514175</v>
      </c>
      <c r="P38" s="58"/>
      <c r="Q38" s="62"/>
      <c r="R38" s="59"/>
      <c r="S38" s="76">
        <v>10</v>
      </c>
      <c r="T38" s="76">
        <f t="shared" si="17"/>
        <v>53.251392348</v>
      </c>
      <c r="U38" s="59">
        <f t="shared" si="18"/>
        <v>0.2</v>
      </c>
      <c r="V38" s="76">
        <f t="shared" si="19"/>
        <v>40</v>
      </c>
      <c r="W38" s="76">
        <f t="shared" si="20"/>
        <v>213.005569392</v>
      </c>
      <c r="X38" s="59">
        <f t="shared" si="21"/>
        <v>0.8</v>
      </c>
      <c r="Y38" s="79" t="s">
        <v>186</v>
      </c>
      <c r="Z38" s="22"/>
      <c r="AA38" s="80"/>
      <c r="AB38" s="79"/>
      <c r="AC38" s="79"/>
      <c r="AD38" s="79"/>
      <c r="AE38" s="79"/>
      <c r="AF38" s="83"/>
    </row>
    <row r="39" s="4" customFormat="true" ht="24" spans="1:32">
      <c r="A39" s="22"/>
      <c r="B39" s="41"/>
      <c r="C39" s="41"/>
      <c r="D39" s="23" t="s">
        <v>187</v>
      </c>
      <c r="E39" s="22" t="s">
        <v>188</v>
      </c>
      <c r="F39" s="58">
        <v>10</v>
      </c>
      <c r="G39" s="22">
        <v>105.61</v>
      </c>
      <c r="H39" s="59">
        <v>0.75</v>
      </c>
      <c r="I39" s="59">
        <v>0.1</v>
      </c>
      <c r="J39" s="62">
        <f>G39*0.749*0.187*0.4*H39*I39</f>
        <v>0.4437616029</v>
      </c>
      <c r="K39" s="58" t="s">
        <v>39</v>
      </c>
      <c r="L39" s="62">
        <v>65</v>
      </c>
      <c r="M39" s="62">
        <f t="shared" si="22"/>
        <v>115.378016754</v>
      </c>
      <c r="N39" s="76">
        <f t="shared" si="15"/>
        <v>1.0924914</v>
      </c>
      <c r="O39" s="59">
        <f t="shared" si="16"/>
        <v>0.0136561425</v>
      </c>
      <c r="P39" s="58"/>
      <c r="Q39" s="62"/>
      <c r="R39" s="59"/>
      <c r="S39" s="76">
        <v>20</v>
      </c>
      <c r="T39" s="76">
        <f t="shared" si="17"/>
        <v>35.500928232</v>
      </c>
      <c r="U39" s="59">
        <f t="shared" si="18"/>
        <v>0.307692307692308</v>
      </c>
      <c r="V39" s="76">
        <f t="shared" si="19"/>
        <v>45</v>
      </c>
      <c r="W39" s="76">
        <f t="shared" si="20"/>
        <v>79.877088522</v>
      </c>
      <c r="X39" s="59">
        <f t="shared" si="21"/>
        <v>0.692307692307692</v>
      </c>
      <c r="Y39" s="79" t="s">
        <v>189</v>
      </c>
      <c r="Z39" s="22"/>
      <c r="AA39" s="80"/>
      <c r="AB39" s="79"/>
      <c r="AC39" s="79"/>
      <c r="AD39" s="79"/>
      <c r="AE39" s="79"/>
      <c r="AF39" s="83"/>
    </row>
    <row r="40" s="4" customFormat="true" ht="48" spans="1:32">
      <c r="A40" s="22"/>
      <c r="B40" s="39" t="s">
        <v>190</v>
      </c>
      <c r="C40" s="40"/>
      <c r="D40" s="40"/>
      <c r="E40" s="64"/>
      <c r="F40" s="58">
        <v>15</v>
      </c>
      <c r="G40" s="22">
        <v>105.61</v>
      </c>
      <c r="H40" s="59">
        <v>0.75</v>
      </c>
      <c r="I40" s="59">
        <v>0.75</v>
      </c>
      <c r="J40" s="62">
        <f>G40*0.749*0.187*0.4*H40</f>
        <v>4.437616029</v>
      </c>
      <c r="K40" s="58" t="s">
        <v>39</v>
      </c>
      <c r="L40" s="62">
        <v>40</v>
      </c>
      <c r="M40" s="62">
        <f>J40*L40</f>
        <v>177.50464116</v>
      </c>
      <c r="N40" s="76">
        <f t="shared" si="15"/>
        <v>1.680756</v>
      </c>
      <c r="O40" s="59">
        <f t="shared" si="16"/>
        <v>0.02100945</v>
      </c>
      <c r="P40" s="58"/>
      <c r="Q40" s="62"/>
      <c r="R40" s="59"/>
      <c r="S40" s="76">
        <v>40</v>
      </c>
      <c r="T40" s="76">
        <f t="shared" si="17"/>
        <v>177.50464116</v>
      </c>
      <c r="U40" s="59">
        <f t="shared" si="18"/>
        <v>1</v>
      </c>
      <c r="V40" s="76">
        <f t="shared" si="19"/>
        <v>0</v>
      </c>
      <c r="W40" s="76">
        <f t="shared" si="20"/>
        <v>0</v>
      </c>
      <c r="X40" s="59">
        <f t="shared" si="21"/>
        <v>0</v>
      </c>
      <c r="Y40" s="79" t="s">
        <v>191</v>
      </c>
      <c r="Z40" s="60" t="s">
        <v>192</v>
      </c>
      <c r="AA40" s="80"/>
      <c r="AB40" s="79"/>
      <c r="AC40" s="79"/>
      <c r="AD40" s="79"/>
      <c r="AE40" s="79"/>
      <c r="AF40" s="79"/>
    </row>
    <row r="41" s="4" customFormat="true" ht="96" spans="1:32">
      <c r="A41" s="22" t="s">
        <v>193</v>
      </c>
      <c r="B41" s="34" t="s">
        <v>194</v>
      </c>
      <c r="C41" s="42"/>
      <c r="D41" s="42"/>
      <c r="E41" s="35"/>
      <c r="F41" s="65">
        <v>5</v>
      </c>
      <c r="G41" s="22">
        <v>105.61</v>
      </c>
      <c r="H41" s="59" t="s">
        <v>44</v>
      </c>
      <c r="I41" s="59">
        <v>0.45</v>
      </c>
      <c r="J41" s="58">
        <v>4</v>
      </c>
      <c r="K41" s="59" t="s">
        <v>39</v>
      </c>
      <c r="L41" s="62">
        <v>15</v>
      </c>
      <c r="M41" s="62">
        <f>J41*L41</f>
        <v>60</v>
      </c>
      <c r="N41" s="76">
        <f t="shared" si="15"/>
        <v>0.568128018180097</v>
      </c>
      <c r="O41" s="59">
        <f t="shared" si="16"/>
        <v>0.00710160022725121</v>
      </c>
      <c r="P41" s="58">
        <f>SUM(M41:M45)</f>
        <v>600.6013007136</v>
      </c>
      <c r="Q41" s="62">
        <f>SUM(N41:N45)</f>
        <v>5.6869737781801</v>
      </c>
      <c r="R41" s="59">
        <f>P41/(G41*80)</f>
        <v>0.0710871722272512</v>
      </c>
      <c r="S41" s="76">
        <v>5</v>
      </c>
      <c r="T41" s="76">
        <f t="shared" si="17"/>
        <v>20</v>
      </c>
      <c r="U41" s="59">
        <f t="shared" si="18"/>
        <v>0.333333333333333</v>
      </c>
      <c r="V41" s="76">
        <f t="shared" si="19"/>
        <v>10</v>
      </c>
      <c r="W41" s="76">
        <f t="shared" si="20"/>
        <v>40</v>
      </c>
      <c r="X41" s="59">
        <f t="shared" si="21"/>
        <v>0.666666666666667</v>
      </c>
      <c r="Y41" s="79" t="s">
        <v>195</v>
      </c>
      <c r="Z41" s="60" t="s">
        <v>196</v>
      </c>
      <c r="AA41" s="79" t="s">
        <v>197</v>
      </c>
      <c r="AB41" s="79" t="s">
        <v>174</v>
      </c>
      <c r="AC41" s="79" t="s">
        <v>198</v>
      </c>
      <c r="AD41" s="79" t="s">
        <v>199</v>
      </c>
      <c r="AE41" s="79" t="s">
        <v>200</v>
      </c>
      <c r="AF41" s="83" t="s">
        <v>201</v>
      </c>
    </row>
    <row r="42" s="4" customFormat="true" ht="36" spans="1:32">
      <c r="A42" s="22"/>
      <c r="B42" s="41" t="s">
        <v>202</v>
      </c>
      <c r="C42" s="41"/>
      <c r="D42" s="23" t="s">
        <v>203</v>
      </c>
      <c r="E42" s="22" t="s">
        <v>204</v>
      </c>
      <c r="F42" s="65">
        <v>10</v>
      </c>
      <c r="G42" s="22">
        <v>105.61</v>
      </c>
      <c r="H42" s="59">
        <v>0.75</v>
      </c>
      <c r="I42" s="59">
        <v>0.6</v>
      </c>
      <c r="J42" s="62">
        <f t="shared" ref="J42:J44" si="23">G42*0.749*0.113*0.36*H42*I42</f>
        <v>1.44803919834</v>
      </c>
      <c r="K42" s="59" t="s">
        <v>39</v>
      </c>
      <c r="L42" s="62">
        <v>40</v>
      </c>
      <c r="M42" s="62">
        <f>J42*L42*4</f>
        <v>231.6862717344</v>
      </c>
      <c r="N42" s="76">
        <f t="shared" si="15"/>
        <v>2.19379104</v>
      </c>
      <c r="O42" s="59">
        <f t="shared" si="16"/>
        <v>0.027422388</v>
      </c>
      <c r="P42" s="58"/>
      <c r="Q42" s="62"/>
      <c r="R42" s="59"/>
      <c r="S42" s="76">
        <v>10</v>
      </c>
      <c r="T42" s="76">
        <f t="shared" si="17"/>
        <v>57.9215679336</v>
      </c>
      <c r="U42" s="59">
        <f t="shared" si="18"/>
        <v>0.25</v>
      </c>
      <c r="V42" s="76">
        <f t="shared" si="19"/>
        <v>30</v>
      </c>
      <c r="W42" s="76">
        <f t="shared" si="20"/>
        <v>173.7647038008</v>
      </c>
      <c r="X42" s="59">
        <f t="shared" si="21"/>
        <v>0.75</v>
      </c>
      <c r="Y42" s="79" t="s">
        <v>205</v>
      </c>
      <c r="Z42" s="22" t="s">
        <v>206</v>
      </c>
      <c r="AA42" s="79"/>
      <c r="AB42" s="79"/>
      <c r="AC42" s="79"/>
      <c r="AD42" s="79"/>
      <c r="AE42" s="79"/>
      <c r="AF42" s="83"/>
    </row>
    <row r="43" s="4" customFormat="true" ht="36" spans="1:32">
      <c r="A43" s="22"/>
      <c r="B43" s="41"/>
      <c r="C43" s="41"/>
      <c r="D43" s="23" t="s">
        <v>207</v>
      </c>
      <c r="E43" s="22" t="s">
        <v>208</v>
      </c>
      <c r="F43" s="65">
        <v>10</v>
      </c>
      <c r="G43" s="22">
        <v>105.61</v>
      </c>
      <c r="H43" s="59">
        <v>0.75</v>
      </c>
      <c r="I43" s="59">
        <v>0.3</v>
      </c>
      <c r="J43" s="62">
        <f t="shared" si="23"/>
        <v>0.72401959917</v>
      </c>
      <c r="K43" s="59" t="s">
        <v>39</v>
      </c>
      <c r="L43" s="62">
        <v>50</v>
      </c>
      <c r="M43" s="62">
        <f>J43*L43*4</f>
        <v>144.803919834</v>
      </c>
      <c r="N43" s="76">
        <f t="shared" si="15"/>
        <v>1.3711194</v>
      </c>
      <c r="O43" s="59">
        <f t="shared" si="16"/>
        <v>0.0171389925</v>
      </c>
      <c r="P43" s="58"/>
      <c r="Q43" s="62"/>
      <c r="R43" s="59"/>
      <c r="S43" s="76">
        <v>20</v>
      </c>
      <c r="T43" s="76">
        <f t="shared" si="17"/>
        <v>57.9215679336</v>
      </c>
      <c r="U43" s="59">
        <f t="shared" si="18"/>
        <v>0.4</v>
      </c>
      <c r="V43" s="76">
        <f t="shared" si="19"/>
        <v>30</v>
      </c>
      <c r="W43" s="76">
        <f t="shared" si="20"/>
        <v>86.8823519004</v>
      </c>
      <c r="X43" s="59">
        <f t="shared" si="21"/>
        <v>0.6</v>
      </c>
      <c r="Y43" s="79" t="s">
        <v>209</v>
      </c>
      <c r="Z43" s="22"/>
      <c r="AA43" s="79"/>
      <c r="AB43" s="79"/>
      <c r="AC43" s="79"/>
      <c r="AD43" s="79"/>
      <c r="AE43" s="79"/>
      <c r="AF43" s="83"/>
    </row>
    <row r="44" s="4" customFormat="true" ht="36" spans="1:32">
      <c r="A44" s="22"/>
      <c r="B44" s="41"/>
      <c r="C44" s="41"/>
      <c r="D44" s="23" t="s">
        <v>210</v>
      </c>
      <c r="E44" s="22" t="s">
        <v>211</v>
      </c>
      <c r="F44" s="65">
        <v>10</v>
      </c>
      <c r="G44" s="22">
        <v>105.61</v>
      </c>
      <c r="H44" s="59">
        <v>0.75</v>
      </c>
      <c r="I44" s="59">
        <v>0.1</v>
      </c>
      <c r="J44" s="62">
        <f t="shared" si="23"/>
        <v>0.24133986639</v>
      </c>
      <c r="K44" s="59" t="s">
        <v>39</v>
      </c>
      <c r="L44" s="62">
        <v>70</v>
      </c>
      <c r="M44" s="62">
        <f>J44*L44*4</f>
        <v>67.5751625892</v>
      </c>
      <c r="N44" s="76">
        <f t="shared" si="15"/>
        <v>0.63985572</v>
      </c>
      <c r="O44" s="59">
        <f t="shared" si="16"/>
        <v>0.0079981965</v>
      </c>
      <c r="P44" s="58"/>
      <c r="Q44" s="62"/>
      <c r="R44" s="59"/>
      <c r="S44" s="76">
        <v>30</v>
      </c>
      <c r="T44" s="76">
        <f t="shared" si="17"/>
        <v>28.9607839668</v>
      </c>
      <c r="U44" s="59">
        <f t="shared" si="18"/>
        <v>0.428571428571429</v>
      </c>
      <c r="V44" s="76">
        <f t="shared" si="19"/>
        <v>40</v>
      </c>
      <c r="W44" s="76">
        <f t="shared" si="20"/>
        <v>38.6143786224</v>
      </c>
      <c r="X44" s="59">
        <f t="shared" si="21"/>
        <v>0.571428571428571</v>
      </c>
      <c r="Y44" s="79" t="s">
        <v>212</v>
      </c>
      <c r="Z44" s="22"/>
      <c r="AA44" s="79"/>
      <c r="AB44" s="79"/>
      <c r="AC44" s="79"/>
      <c r="AD44" s="79"/>
      <c r="AE44" s="79"/>
      <c r="AF44" s="83"/>
    </row>
    <row r="45" s="4" customFormat="true" ht="48" spans="1:32">
      <c r="A45" s="22"/>
      <c r="B45" s="43" t="s">
        <v>213</v>
      </c>
      <c r="C45" s="43"/>
      <c r="D45" s="43"/>
      <c r="E45" s="44"/>
      <c r="F45" s="65">
        <v>15</v>
      </c>
      <c r="G45" s="22">
        <v>105.61</v>
      </c>
      <c r="H45" s="59">
        <v>0.75</v>
      </c>
      <c r="I45" s="59">
        <v>0.75</v>
      </c>
      <c r="J45" s="62">
        <f>G45*0.749*0.113*0.36*H45</f>
        <v>2.4133986639</v>
      </c>
      <c r="K45" s="59" t="s">
        <v>39</v>
      </c>
      <c r="L45" s="62">
        <v>40</v>
      </c>
      <c r="M45" s="62">
        <f t="shared" ref="M45:M51" si="24">J45*L45</f>
        <v>96.535946556</v>
      </c>
      <c r="N45" s="76">
        <f t="shared" si="15"/>
        <v>0.9140796</v>
      </c>
      <c r="O45" s="59">
        <f t="shared" si="16"/>
        <v>0.011425995</v>
      </c>
      <c r="P45" s="58"/>
      <c r="Q45" s="62"/>
      <c r="R45" s="59"/>
      <c r="S45" s="76">
        <v>25</v>
      </c>
      <c r="T45" s="76">
        <f t="shared" si="17"/>
        <v>60.3349665975</v>
      </c>
      <c r="U45" s="59">
        <f t="shared" si="18"/>
        <v>0.625</v>
      </c>
      <c r="V45" s="76">
        <f t="shared" si="19"/>
        <v>15</v>
      </c>
      <c r="W45" s="76">
        <f t="shared" si="20"/>
        <v>36.2009799585</v>
      </c>
      <c r="X45" s="59">
        <f t="shared" si="21"/>
        <v>0.375</v>
      </c>
      <c r="Y45" s="79" t="s">
        <v>191</v>
      </c>
      <c r="Z45" s="60" t="s">
        <v>214</v>
      </c>
      <c r="AA45" s="79"/>
      <c r="AB45" s="79"/>
      <c r="AC45" s="79"/>
      <c r="AD45" s="79"/>
      <c r="AE45" s="79"/>
      <c r="AF45" s="83"/>
    </row>
    <row r="46" s="4" customFormat="true" ht="24" spans="1:32">
      <c r="A46" s="22" t="s">
        <v>215</v>
      </c>
      <c r="B46" s="23" t="s">
        <v>216</v>
      </c>
      <c r="C46" s="23"/>
      <c r="D46" s="23"/>
      <c r="E46" s="22" t="s">
        <v>217</v>
      </c>
      <c r="F46" s="58">
        <v>15</v>
      </c>
      <c r="G46" s="22">
        <v>105.61</v>
      </c>
      <c r="H46" s="59">
        <v>0.93</v>
      </c>
      <c r="I46" s="59">
        <v>0.005</v>
      </c>
      <c r="J46" s="24">
        <v>0.5157</v>
      </c>
      <c r="K46" s="58" t="s">
        <v>39</v>
      </c>
      <c r="L46" s="62">
        <v>65</v>
      </c>
      <c r="M46" s="62">
        <f t="shared" si="24"/>
        <v>33.5205</v>
      </c>
      <c r="N46" s="76">
        <f t="shared" si="15"/>
        <v>0.317398920556765</v>
      </c>
      <c r="O46" s="59">
        <f t="shared" si="16"/>
        <v>0.00396748650695957</v>
      </c>
      <c r="P46" s="58">
        <f>M46+M47+M48+M49+M50</f>
        <v>446.18364</v>
      </c>
      <c r="Q46" s="62">
        <f>N46+N47+N48+N49+N50</f>
        <v>4.22482378562636</v>
      </c>
      <c r="R46" s="59">
        <f>P46/(G46*80)</f>
        <v>0.0528102973203295</v>
      </c>
      <c r="S46" s="76">
        <v>20</v>
      </c>
      <c r="T46" s="76">
        <f t="shared" si="17"/>
        <v>10.314</v>
      </c>
      <c r="U46" s="59">
        <f t="shared" si="18"/>
        <v>0.307692307692308</v>
      </c>
      <c r="V46" s="76">
        <f t="shared" si="19"/>
        <v>45</v>
      </c>
      <c r="W46" s="76">
        <f t="shared" si="20"/>
        <v>23.2065</v>
      </c>
      <c r="X46" s="59">
        <f t="shared" si="21"/>
        <v>0.692307692307692</v>
      </c>
      <c r="Y46" s="60" t="s">
        <v>218</v>
      </c>
      <c r="Z46" s="79" t="s">
        <v>219</v>
      </c>
      <c r="AA46" s="79" t="s">
        <v>220</v>
      </c>
      <c r="AB46" s="79" t="s">
        <v>221</v>
      </c>
      <c r="AC46" s="22" t="s">
        <v>44</v>
      </c>
      <c r="AD46" s="22" t="s">
        <v>44</v>
      </c>
      <c r="AE46" s="22" t="s">
        <v>44</v>
      </c>
      <c r="AF46" s="84" t="s">
        <v>222</v>
      </c>
    </row>
    <row r="47" s="4" customFormat="true" ht="60" spans="1:32">
      <c r="A47" s="22"/>
      <c r="B47" s="23" t="s">
        <v>223</v>
      </c>
      <c r="C47" s="23"/>
      <c r="D47" s="23"/>
      <c r="E47" s="22" t="s">
        <v>224</v>
      </c>
      <c r="F47" s="58">
        <v>15</v>
      </c>
      <c r="G47" s="22">
        <v>105.61</v>
      </c>
      <c r="H47" s="59">
        <v>0.93</v>
      </c>
      <c r="I47" s="59">
        <v>0.005</v>
      </c>
      <c r="J47" s="24">
        <v>0.5157</v>
      </c>
      <c r="K47" s="58" t="s">
        <v>39</v>
      </c>
      <c r="L47" s="62">
        <v>150</v>
      </c>
      <c r="M47" s="62">
        <f>J47*L47*4</f>
        <v>309.42</v>
      </c>
      <c r="N47" s="76">
        <f t="shared" si="15"/>
        <v>2.92983618975476</v>
      </c>
      <c r="O47" s="59">
        <f t="shared" si="16"/>
        <v>0.0366229523719345</v>
      </c>
      <c r="P47" s="58"/>
      <c r="Q47" s="62"/>
      <c r="R47" s="59"/>
      <c r="S47" s="76">
        <v>130</v>
      </c>
      <c r="T47" s="76">
        <f t="shared" si="17"/>
        <v>268.164</v>
      </c>
      <c r="U47" s="59">
        <f t="shared" si="18"/>
        <v>0.866666666666667</v>
      </c>
      <c r="V47" s="76">
        <f t="shared" si="19"/>
        <v>20</v>
      </c>
      <c r="W47" s="76">
        <f t="shared" si="20"/>
        <v>41.256</v>
      </c>
      <c r="X47" s="59">
        <f t="shared" si="21"/>
        <v>0.133333333333333</v>
      </c>
      <c r="Y47" s="79" t="s">
        <v>225</v>
      </c>
      <c r="Z47" s="79"/>
      <c r="AA47" s="79"/>
      <c r="AB47" s="79"/>
      <c r="AC47" s="22"/>
      <c r="AD47" s="22"/>
      <c r="AE47" s="22"/>
      <c r="AF47" s="60"/>
    </row>
    <row r="48" s="4" customFormat="true" ht="24" spans="1:32">
      <c r="A48" s="22"/>
      <c r="B48" s="23" t="s">
        <v>226</v>
      </c>
      <c r="C48" s="23"/>
      <c r="D48" s="23"/>
      <c r="E48" s="22" t="s">
        <v>227</v>
      </c>
      <c r="F48" s="58">
        <v>5</v>
      </c>
      <c r="G48" s="22">
        <v>105.61</v>
      </c>
      <c r="H48" s="59">
        <v>0.93</v>
      </c>
      <c r="I48" s="59">
        <v>0.005</v>
      </c>
      <c r="J48" s="24">
        <v>0.5157</v>
      </c>
      <c r="K48" s="58" t="s">
        <v>39</v>
      </c>
      <c r="L48" s="62">
        <v>30</v>
      </c>
      <c r="M48" s="62">
        <f t="shared" si="24"/>
        <v>15.471</v>
      </c>
      <c r="N48" s="76">
        <f t="shared" si="15"/>
        <v>0.146491809487738</v>
      </c>
      <c r="O48" s="59">
        <f t="shared" si="16"/>
        <v>0.00183114761859672</v>
      </c>
      <c r="P48" s="58"/>
      <c r="Q48" s="62"/>
      <c r="R48" s="59"/>
      <c r="S48" s="76">
        <v>10</v>
      </c>
      <c r="T48" s="76">
        <f t="shared" si="17"/>
        <v>5.157</v>
      </c>
      <c r="U48" s="59">
        <f t="shared" si="18"/>
        <v>0.333333333333333</v>
      </c>
      <c r="V48" s="76">
        <v>20</v>
      </c>
      <c r="W48" s="76">
        <f t="shared" si="20"/>
        <v>10.314</v>
      </c>
      <c r="X48" s="59">
        <f t="shared" si="21"/>
        <v>0.666666666666667</v>
      </c>
      <c r="Y48" s="60" t="s">
        <v>228</v>
      </c>
      <c r="Z48" s="79"/>
      <c r="AA48" s="79"/>
      <c r="AB48" s="79"/>
      <c r="AC48" s="22"/>
      <c r="AD48" s="22"/>
      <c r="AE48" s="22"/>
      <c r="AF48" s="60"/>
    </row>
    <row r="49" s="4" customFormat="true" ht="24" spans="1:32">
      <c r="A49" s="22"/>
      <c r="B49" s="23" t="s">
        <v>229</v>
      </c>
      <c r="C49" s="23"/>
      <c r="D49" s="23"/>
      <c r="E49" s="22" t="s">
        <v>230</v>
      </c>
      <c r="F49" s="58">
        <v>15</v>
      </c>
      <c r="G49" s="22">
        <v>105.61</v>
      </c>
      <c r="H49" s="59">
        <v>0.93</v>
      </c>
      <c r="I49" s="59">
        <v>0.005</v>
      </c>
      <c r="J49" s="24">
        <v>0.5157</v>
      </c>
      <c r="K49" s="58" t="s">
        <v>39</v>
      </c>
      <c r="L49" s="62">
        <v>170</v>
      </c>
      <c r="M49" s="62">
        <f t="shared" si="24"/>
        <v>87.669</v>
      </c>
      <c r="N49" s="76">
        <f t="shared" si="15"/>
        <v>0.830120253763848</v>
      </c>
      <c r="O49" s="59">
        <f t="shared" si="16"/>
        <v>0.0103765031720481</v>
      </c>
      <c r="P49" s="58"/>
      <c r="Q49" s="62"/>
      <c r="R49" s="59"/>
      <c r="S49" s="76">
        <v>85</v>
      </c>
      <c r="T49" s="76">
        <f t="shared" si="17"/>
        <v>43.8345</v>
      </c>
      <c r="U49" s="59">
        <f t="shared" si="18"/>
        <v>0.5</v>
      </c>
      <c r="V49" s="76">
        <f t="shared" si="19"/>
        <v>85</v>
      </c>
      <c r="W49" s="76">
        <f t="shared" si="20"/>
        <v>43.8345</v>
      </c>
      <c r="X49" s="59">
        <f t="shared" si="21"/>
        <v>0.5</v>
      </c>
      <c r="Y49" s="60" t="s">
        <v>231</v>
      </c>
      <c r="Z49" s="79"/>
      <c r="AA49" s="79"/>
      <c r="AB49" s="79"/>
      <c r="AC49" s="22"/>
      <c r="AD49" s="22"/>
      <c r="AE49" s="22"/>
      <c r="AF49" s="60"/>
    </row>
    <row r="50" s="4" customFormat="true" ht="71" customHeight="true" spans="1:32">
      <c r="A50" s="22"/>
      <c r="B50" s="23" t="s">
        <v>232</v>
      </c>
      <c r="C50" s="23"/>
      <c r="D50" s="23"/>
      <c r="E50" s="22" t="s">
        <v>233</v>
      </c>
      <c r="F50" s="58">
        <v>15</v>
      </c>
      <c r="G50" s="22">
        <v>105.61</v>
      </c>
      <c r="H50" s="59">
        <v>0.93</v>
      </c>
      <c r="I50" s="59">
        <v>0.005</v>
      </c>
      <c r="J50" s="24">
        <v>0.5157</v>
      </c>
      <c r="K50" s="58" t="s">
        <v>39</v>
      </c>
      <c r="L50" s="62">
        <v>0.2</v>
      </c>
      <c r="M50" s="62">
        <f t="shared" si="24"/>
        <v>0.10314</v>
      </c>
      <c r="N50" s="76">
        <f t="shared" si="15"/>
        <v>0.000976612063251586</v>
      </c>
      <c r="O50" s="59">
        <f t="shared" si="16"/>
        <v>1.22076507906448e-5</v>
      </c>
      <c r="P50" s="58"/>
      <c r="Q50" s="62"/>
      <c r="R50" s="59"/>
      <c r="S50" s="76">
        <v>0.1</v>
      </c>
      <c r="T50" s="76">
        <f t="shared" si="17"/>
        <v>0.05157</v>
      </c>
      <c r="U50" s="59">
        <f t="shared" si="18"/>
        <v>0.5</v>
      </c>
      <c r="V50" s="76">
        <f t="shared" si="19"/>
        <v>0.1</v>
      </c>
      <c r="W50" s="76">
        <f t="shared" si="20"/>
        <v>0.05157</v>
      </c>
      <c r="X50" s="59">
        <f t="shared" si="21"/>
        <v>0.5</v>
      </c>
      <c r="Y50" s="79" t="s">
        <v>234</v>
      </c>
      <c r="Z50" s="79"/>
      <c r="AA50" s="79"/>
      <c r="AB50" s="79"/>
      <c r="AC50" s="22"/>
      <c r="AD50" s="22"/>
      <c r="AE50" s="22"/>
      <c r="AF50" s="60"/>
    </row>
    <row r="51" s="4" customFormat="true" ht="48" spans="1:32">
      <c r="A51" s="22" t="s">
        <v>235</v>
      </c>
      <c r="B51" s="23" t="s">
        <v>236</v>
      </c>
      <c r="C51" s="23"/>
      <c r="D51" s="44"/>
      <c r="E51" s="22" t="s">
        <v>237</v>
      </c>
      <c r="F51" s="65">
        <v>15</v>
      </c>
      <c r="G51" s="22">
        <v>105.61</v>
      </c>
      <c r="H51" s="59">
        <v>1</v>
      </c>
      <c r="I51" s="59">
        <v>1</v>
      </c>
      <c r="J51" s="62">
        <v>0.2682</v>
      </c>
      <c r="K51" s="59" t="s">
        <v>39</v>
      </c>
      <c r="L51" s="62">
        <v>60</v>
      </c>
      <c r="M51" s="62">
        <f t="shared" si="24"/>
        <v>16.092</v>
      </c>
      <c r="N51" s="76">
        <f>(M51/G51)</f>
        <v>0.152371934475902</v>
      </c>
      <c r="O51" s="62">
        <f t="shared" ref="O51:O54" si="25">N51/80</f>
        <v>0.00190464918094877</v>
      </c>
      <c r="P51" s="58">
        <f>M51+M52+M53+M54</f>
        <v>180.0205</v>
      </c>
      <c r="Q51" s="62">
        <f>N51+N52+N53+N54</f>
        <v>1.70457816494651</v>
      </c>
      <c r="R51" s="59">
        <f>P51/(G51*80)</f>
        <v>0.0213072270618313</v>
      </c>
      <c r="S51" s="76">
        <v>50</v>
      </c>
      <c r="T51" s="76">
        <f t="shared" ref="T51:T62" si="26">U51*M51</f>
        <v>13.41</v>
      </c>
      <c r="U51" s="59">
        <f t="shared" si="18"/>
        <v>0.833333333333333</v>
      </c>
      <c r="V51" s="76">
        <f t="shared" si="19"/>
        <v>10</v>
      </c>
      <c r="W51" s="76">
        <f t="shared" si="20"/>
        <v>2.682</v>
      </c>
      <c r="X51" s="59">
        <f t="shared" si="21"/>
        <v>0.166666666666667</v>
      </c>
      <c r="Y51" s="60" t="s">
        <v>238</v>
      </c>
      <c r="Z51" s="79" t="s">
        <v>239</v>
      </c>
      <c r="AA51" s="79" t="s">
        <v>240</v>
      </c>
      <c r="AB51" s="79" t="s">
        <v>241</v>
      </c>
      <c r="AC51" s="22" t="s">
        <v>44</v>
      </c>
      <c r="AD51" s="22" t="s">
        <v>44</v>
      </c>
      <c r="AE51" s="22" t="s">
        <v>44</v>
      </c>
      <c r="AF51" s="83" t="s">
        <v>242</v>
      </c>
    </row>
    <row r="52" s="4" customFormat="true" ht="36" spans="1:32">
      <c r="A52" s="22"/>
      <c r="B52" s="23" t="s">
        <v>243</v>
      </c>
      <c r="C52" s="23"/>
      <c r="D52" s="44"/>
      <c r="E52" s="22" t="s">
        <v>244</v>
      </c>
      <c r="F52" s="65">
        <v>15</v>
      </c>
      <c r="G52" s="22">
        <v>105.61</v>
      </c>
      <c r="H52" s="59">
        <v>0.95</v>
      </c>
      <c r="I52" s="59">
        <v>0.95</v>
      </c>
      <c r="J52" s="62">
        <v>0.0683</v>
      </c>
      <c r="K52" s="59" t="s">
        <v>39</v>
      </c>
      <c r="L52" s="62">
        <v>100</v>
      </c>
      <c r="M52" s="62">
        <f>J52*L52*I52</f>
        <v>6.4885</v>
      </c>
      <c r="N52" s="76">
        <f>(M52/G52)</f>
        <v>0.0614383107660259</v>
      </c>
      <c r="O52" s="62">
        <f t="shared" si="25"/>
        <v>0.000767978884575324</v>
      </c>
      <c r="P52" s="58"/>
      <c r="Q52" s="62"/>
      <c r="R52" s="59"/>
      <c r="S52" s="76">
        <v>6</v>
      </c>
      <c r="T52" s="76">
        <f t="shared" si="26"/>
        <v>0.38931</v>
      </c>
      <c r="U52" s="59">
        <f t="shared" si="18"/>
        <v>0.06</v>
      </c>
      <c r="V52" s="76">
        <f t="shared" si="19"/>
        <v>94</v>
      </c>
      <c r="W52" s="76">
        <f t="shared" si="20"/>
        <v>6.09919</v>
      </c>
      <c r="X52" s="59">
        <f t="shared" si="21"/>
        <v>0.94</v>
      </c>
      <c r="Y52" s="60" t="s">
        <v>245</v>
      </c>
      <c r="Z52" s="79"/>
      <c r="AA52" s="79"/>
      <c r="AB52" s="79"/>
      <c r="AC52" s="22"/>
      <c r="AD52" s="22"/>
      <c r="AE52" s="22"/>
      <c r="AF52" s="79"/>
    </row>
    <row r="53" s="4" customFormat="true" ht="108" spans="1:32">
      <c r="A53" s="22"/>
      <c r="B53" s="23" t="s">
        <v>246</v>
      </c>
      <c r="C53" s="23"/>
      <c r="D53" s="44"/>
      <c r="E53" s="22" t="s">
        <v>247</v>
      </c>
      <c r="F53" s="65">
        <v>20</v>
      </c>
      <c r="G53" s="22">
        <v>105.61</v>
      </c>
      <c r="H53" s="59">
        <v>0.95</v>
      </c>
      <c r="I53" s="59">
        <v>0.95</v>
      </c>
      <c r="J53" s="62">
        <v>0.067</v>
      </c>
      <c r="K53" s="59" t="s">
        <v>39</v>
      </c>
      <c r="L53" s="62">
        <v>200</v>
      </c>
      <c r="M53" s="62">
        <f>J53*L53*I53*12</f>
        <v>152.76</v>
      </c>
      <c r="N53" s="76">
        <f>(M53/G53)</f>
        <v>1.44645393428653</v>
      </c>
      <c r="O53" s="62">
        <f t="shared" si="25"/>
        <v>0.0180806741785816</v>
      </c>
      <c r="P53" s="58"/>
      <c r="Q53" s="62"/>
      <c r="R53" s="59"/>
      <c r="S53" s="76">
        <v>145</v>
      </c>
      <c r="T53" s="76">
        <f t="shared" si="26"/>
        <v>110.751</v>
      </c>
      <c r="U53" s="59">
        <f t="shared" si="18"/>
        <v>0.725</v>
      </c>
      <c r="V53" s="76">
        <f t="shared" si="19"/>
        <v>55</v>
      </c>
      <c r="W53" s="76">
        <f t="shared" si="20"/>
        <v>42.009</v>
      </c>
      <c r="X53" s="59">
        <f t="shared" si="21"/>
        <v>0.275</v>
      </c>
      <c r="Y53" s="79" t="s">
        <v>248</v>
      </c>
      <c r="Z53" s="79"/>
      <c r="AA53" s="79"/>
      <c r="AB53" s="79"/>
      <c r="AC53" s="22"/>
      <c r="AD53" s="22"/>
      <c r="AE53" s="22"/>
      <c r="AF53" s="79"/>
    </row>
    <row r="54" s="4" customFormat="true" ht="48" spans="1:32">
      <c r="A54" s="22"/>
      <c r="B54" s="23" t="s">
        <v>249</v>
      </c>
      <c r="C54" s="23"/>
      <c r="D54" s="44"/>
      <c r="E54" s="22" t="s">
        <v>250</v>
      </c>
      <c r="F54" s="65">
        <v>20</v>
      </c>
      <c r="G54" s="22">
        <v>105.61</v>
      </c>
      <c r="H54" s="59">
        <v>0.95</v>
      </c>
      <c r="I54" s="59">
        <v>0.95</v>
      </c>
      <c r="J54" s="62">
        <v>0.0013</v>
      </c>
      <c r="K54" s="59" t="s">
        <v>39</v>
      </c>
      <c r="L54" s="62">
        <v>600</v>
      </c>
      <c r="M54" s="62">
        <f>J54*L54*6</f>
        <v>4.68</v>
      </c>
      <c r="N54" s="76">
        <f>(M54/G54)</f>
        <v>0.0443139854180475</v>
      </c>
      <c r="O54" s="62">
        <f t="shared" si="25"/>
        <v>0.000553924817725594</v>
      </c>
      <c r="P54" s="58"/>
      <c r="Q54" s="62"/>
      <c r="R54" s="59"/>
      <c r="S54" s="76">
        <v>480</v>
      </c>
      <c r="T54" s="76">
        <f t="shared" si="26"/>
        <v>3.744</v>
      </c>
      <c r="U54" s="59">
        <f t="shared" si="18"/>
        <v>0.8</v>
      </c>
      <c r="V54" s="76">
        <f t="shared" si="19"/>
        <v>120</v>
      </c>
      <c r="W54" s="76">
        <f t="shared" si="20"/>
        <v>0.936</v>
      </c>
      <c r="X54" s="59">
        <f t="shared" si="21"/>
        <v>0.2</v>
      </c>
      <c r="Y54" s="60" t="s">
        <v>251</v>
      </c>
      <c r="Z54" s="79"/>
      <c r="AA54" s="79"/>
      <c r="AB54" s="79"/>
      <c r="AC54" s="22"/>
      <c r="AD54" s="22"/>
      <c r="AE54" s="22"/>
      <c r="AF54" s="79"/>
    </row>
    <row r="55" s="4" customFormat="true" ht="72" spans="1:32">
      <c r="A55" s="22" t="s">
        <v>252</v>
      </c>
      <c r="B55" s="23" t="s">
        <v>253</v>
      </c>
      <c r="C55" s="23"/>
      <c r="D55" s="23"/>
      <c r="E55" s="22" t="s">
        <v>254</v>
      </c>
      <c r="F55" s="58">
        <v>10</v>
      </c>
      <c r="G55" s="22">
        <v>105.61</v>
      </c>
      <c r="H55" s="59">
        <v>0.7</v>
      </c>
      <c r="I55" s="59" t="s">
        <v>44</v>
      </c>
      <c r="J55" s="62">
        <v>5.4041</v>
      </c>
      <c r="K55" s="58" t="s">
        <v>39</v>
      </c>
      <c r="L55" s="62">
        <v>40</v>
      </c>
      <c r="M55" s="62">
        <f>J55*L55</f>
        <v>216.164</v>
      </c>
      <c r="N55" s="76">
        <f>M55/G55</f>
        <v>2.04681374869804</v>
      </c>
      <c r="O55" s="59">
        <f>N55/75</f>
        <v>0.0272908499826405</v>
      </c>
      <c r="P55" s="58">
        <f>M55+M56</f>
        <v>892.364</v>
      </c>
      <c r="Q55" s="62">
        <f>N55+N56</f>
        <v>8.44961651358773</v>
      </c>
      <c r="R55" s="59">
        <f>P55/(G55*80)</f>
        <v>0.105620206419847</v>
      </c>
      <c r="S55" s="76">
        <v>30</v>
      </c>
      <c r="T55" s="76">
        <f t="shared" si="26"/>
        <v>162.123</v>
      </c>
      <c r="U55" s="59">
        <f t="shared" si="18"/>
        <v>0.75</v>
      </c>
      <c r="V55" s="76">
        <v>10</v>
      </c>
      <c r="W55" s="76">
        <f t="shared" si="20"/>
        <v>54.041</v>
      </c>
      <c r="X55" s="59">
        <f t="shared" si="21"/>
        <v>0.25</v>
      </c>
      <c r="Y55" s="60" t="s">
        <v>255</v>
      </c>
      <c r="Z55" s="60" t="s">
        <v>256</v>
      </c>
      <c r="AA55" s="79" t="s">
        <v>257</v>
      </c>
      <c r="AB55" s="79" t="s">
        <v>258</v>
      </c>
      <c r="AC55" s="22" t="s">
        <v>44</v>
      </c>
      <c r="AD55" s="22" t="s">
        <v>44</v>
      </c>
      <c r="AE55" s="22" t="s">
        <v>44</v>
      </c>
      <c r="AF55" s="83" t="s">
        <v>259</v>
      </c>
    </row>
    <row r="56" s="4" customFormat="true" ht="48" spans="1:32">
      <c r="A56" s="22"/>
      <c r="B56" s="23" t="s">
        <v>260</v>
      </c>
      <c r="C56" s="23"/>
      <c r="D56" s="23"/>
      <c r="E56" s="22" t="s">
        <v>261</v>
      </c>
      <c r="F56" s="58">
        <v>8</v>
      </c>
      <c r="G56" s="22">
        <v>105.61</v>
      </c>
      <c r="H56" s="59">
        <v>0.77</v>
      </c>
      <c r="I56" s="59" t="s">
        <v>44</v>
      </c>
      <c r="J56" s="62">
        <v>3.22</v>
      </c>
      <c r="K56" s="58" t="s">
        <v>39</v>
      </c>
      <c r="L56" s="62">
        <v>35</v>
      </c>
      <c r="M56" s="62">
        <f>J56*L56*6</f>
        <v>676.2</v>
      </c>
      <c r="N56" s="76">
        <f>M56/G56</f>
        <v>6.40280276488969</v>
      </c>
      <c r="O56" s="59">
        <f>N56/75</f>
        <v>0.0853707035318625</v>
      </c>
      <c r="P56" s="58"/>
      <c r="Q56" s="62"/>
      <c r="R56" s="59"/>
      <c r="S56" s="76">
        <v>27</v>
      </c>
      <c r="T56" s="76">
        <f t="shared" si="26"/>
        <v>521.64</v>
      </c>
      <c r="U56" s="59">
        <f t="shared" si="18"/>
        <v>0.771428571428571</v>
      </c>
      <c r="V56" s="76">
        <f>L56-S56</f>
        <v>8</v>
      </c>
      <c r="W56" s="76">
        <f t="shared" si="20"/>
        <v>154.56</v>
      </c>
      <c r="X56" s="59">
        <f t="shared" si="21"/>
        <v>0.228571428571429</v>
      </c>
      <c r="Y56" s="60" t="s">
        <v>262</v>
      </c>
      <c r="Z56" s="60" t="s">
        <v>263</v>
      </c>
      <c r="AA56" s="79"/>
      <c r="AB56" s="79"/>
      <c r="AC56" s="22"/>
      <c r="AD56" s="22"/>
      <c r="AE56" s="22"/>
      <c r="AF56" s="79"/>
    </row>
    <row r="57" s="4" customFormat="true" ht="12" spans="1:32">
      <c r="A57" s="45" t="s">
        <v>264</v>
      </c>
      <c r="B57" s="46"/>
      <c r="C57" s="46"/>
      <c r="D57" s="47"/>
      <c r="E57" s="22" t="s">
        <v>265</v>
      </c>
      <c r="F57" s="66" t="s">
        <v>266</v>
      </c>
      <c r="G57" s="22">
        <v>105.61</v>
      </c>
      <c r="H57" s="59"/>
      <c r="I57" s="59"/>
      <c r="J57" s="58">
        <v>7</v>
      </c>
      <c r="K57" s="58" t="s">
        <v>69</v>
      </c>
      <c r="L57" s="62">
        <v>25000</v>
      </c>
      <c r="M57" s="62">
        <v>17.5</v>
      </c>
      <c r="N57" s="76">
        <f>M57/G57</f>
        <v>0.165704005302528</v>
      </c>
      <c r="O57" s="59"/>
      <c r="P57" s="58"/>
      <c r="Q57" s="62"/>
      <c r="R57" s="59"/>
      <c r="S57" s="76"/>
      <c r="T57" s="76"/>
      <c r="U57" s="59"/>
      <c r="V57" s="76"/>
      <c r="W57" s="76"/>
      <c r="X57" s="59"/>
      <c r="Y57" s="60"/>
      <c r="Z57" s="60"/>
      <c r="AA57" s="79"/>
      <c r="AB57" s="79"/>
      <c r="AC57" s="22"/>
      <c r="AD57" s="22"/>
      <c r="AE57" s="22"/>
      <c r="AF57" s="79"/>
    </row>
    <row r="58" s="4" customFormat="true" ht="108" spans="1:32">
      <c r="A58" s="48"/>
      <c r="B58" s="49"/>
      <c r="C58" s="49"/>
      <c r="D58" s="50"/>
      <c r="E58" s="22" t="s">
        <v>267</v>
      </c>
      <c r="F58" s="67"/>
      <c r="G58" s="62">
        <v>105.61</v>
      </c>
      <c r="H58" s="59" t="s">
        <v>44</v>
      </c>
      <c r="I58" s="59" t="s">
        <v>44</v>
      </c>
      <c r="J58" s="58">
        <v>20</v>
      </c>
      <c r="K58" s="59" t="s">
        <v>69</v>
      </c>
      <c r="L58" s="62">
        <v>20000</v>
      </c>
      <c r="M58" s="62">
        <f>L58*J58/10000</f>
        <v>40</v>
      </c>
      <c r="N58" s="76">
        <f t="shared" ref="N58:N65" si="27">M58/G58</f>
        <v>0.378752012120064</v>
      </c>
      <c r="O58" s="59">
        <f t="shared" ref="O58:O65" si="28">N58/80</f>
        <v>0.0047344001515008</v>
      </c>
      <c r="P58" s="58">
        <f>M58+M59+M60</f>
        <v>74.55</v>
      </c>
      <c r="Q58" s="62">
        <f>N58+N59+N60</f>
        <v>0.70589906258877</v>
      </c>
      <c r="R58" s="59">
        <f>P58/(G58*80)</f>
        <v>0.00882373828235963</v>
      </c>
      <c r="S58" s="76">
        <v>20000</v>
      </c>
      <c r="T58" s="76">
        <f t="shared" ref="T58:T63" si="29">U58*M58</f>
        <v>40</v>
      </c>
      <c r="U58" s="59">
        <f t="shared" ref="U58:U65" si="30">S58/L58</f>
        <v>1</v>
      </c>
      <c r="V58" s="76">
        <f t="shared" ref="V58:V63" si="31">L58-S58</f>
        <v>0</v>
      </c>
      <c r="W58" s="76">
        <f t="shared" ref="W58:W65" si="32">X58*M58</f>
        <v>0</v>
      </c>
      <c r="X58" s="59">
        <f t="shared" ref="X58:X65" si="33">V58/L58</f>
        <v>0</v>
      </c>
      <c r="Y58" s="22" t="s">
        <v>268</v>
      </c>
      <c r="Z58" s="60" t="s">
        <v>269</v>
      </c>
      <c r="AA58" s="22" t="s">
        <v>270</v>
      </c>
      <c r="AB58" s="22" t="s">
        <v>271</v>
      </c>
      <c r="AC58" s="22" t="s">
        <v>44</v>
      </c>
      <c r="AD58" s="22" t="s">
        <v>44</v>
      </c>
      <c r="AE58" s="22" t="s">
        <v>44</v>
      </c>
      <c r="AF58" s="83" t="s">
        <v>272</v>
      </c>
    </row>
    <row r="59" s="4" customFormat="true" ht="84" spans="1:32">
      <c r="A59" s="48"/>
      <c r="B59" s="49"/>
      <c r="C59" s="49"/>
      <c r="D59" s="50"/>
      <c r="E59" s="22" t="s">
        <v>273</v>
      </c>
      <c r="F59" s="67"/>
      <c r="G59" s="22">
        <v>105.61</v>
      </c>
      <c r="H59" s="59" t="s">
        <v>44</v>
      </c>
      <c r="I59" s="59" t="s">
        <v>44</v>
      </c>
      <c r="J59" s="58">
        <v>1</v>
      </c>
      <c r="K59" s="58" t="s">
        <v>69</v>
      </c>
      <c r="L59" s="62">
        <v>3500</v>
      </c>
      <c r="M59" s="62">
        <f>L59*J59/10000</f>
        <v>0.35</v>
      </c>
      <c r="N59" s="76">
        <f t="shared" si="27"/>
        <v>0.00331408010605056</v>
      </c>
      <c r="O59" s="59">
        <f t="shared" si="28"/>
        <v>4.1426001325632e-5</v>
      </c>
      <c r="P59" s="58"/>
      <c r="Q59" s="62"/>
      <c r="R59" s="59"/>
      <c r="S59" s="76">
        <v>0</v>
      </c>
      <c r="T59" s="76">
        <f t="shared" si="29"/>
        <v>0</v>
      </c>
      <c r="U59" s="59">
        <f t="shared" si="30"/>
        <v>0</v>
      </c>
      <c r="V59" s="76">
        <f t="shared" si="31"/>
        <v>3500</v>
      </c>
      <c r="W59" s="76">
        <f t="shared" si="32"/>
        <v>0.35</v>
      </c>
      <c r="X59" s="59">
        <f t="shared" si="33"/>
        <v>1</v>
      </c>
      <c r="Y59" s="22"/>
      <c r="Z59" s="72" t="s">
        <v>274</v>
      </c>
      <c r="AA59" s="22"/>
      <c r="AB59" s="22"/>
      <c r="AC59" s="22"/>
      <c r="AD59" s="22"/>
      <c r="AE59" s="22"/>
      <c r="AF59" s="83"/>
    </row>
    <row r="60" s="4" customFormat="true" ht="96" spans="1:32">
      <c r="A60" s="51"/>
      <c r="B60" s="52"/>
      <c r="C60" s="52"/>
      <c r="D60" s="53"/>
      <c r="E60" s="41" t="s">
        <v>275</v>
      </c>
      <c r="F60" s="68"/>
      <c r="G60" s="62">
        <v>105.61</v>
      </c>
      <c r="H60" s="59" t="s">
        <v>44</v>
      </c>
      <c r="I60" s="59" t="s">
        <v>44</v>
      </c>
      <c r="J60" s="58">
        <v>114</v>
      </c>
      <c r="K60" s="59" t="s">
        <v>69</v>
      </c>
      <c r="L60" s="62">
        <v>3000</v>
      </c>
      <c r="M60" s="62">
        <f>L60*J60/10000</f>
        <v>34.2</v>
      </c>
      <c r="N60" s="76">
        <f t="shared" si="27"/>
        <v>0.323832970362655</v>
      </c>
      <c r="O60" s="59">
        <f t="shared" si="28"/>
        <v>0.00404791212953319</v>
      </c>
      <c r="P60" s="58"/>
      <c r="Q60" s="62"/>
      <c r="R60" s="59"/>
      <c r="S60" s="76">
        <v>0</v>
      </c>
      <c r="T60" s="76">
        <f t="shared" si="29"/>
        <v>0</v>
      </c>
      <c r="U60" s="59">
        <f t="shared" si="30"/>
        <v>0</v>
      </c>
      <c r="V60" s="76">
        <f t="shared" si="31"/>
        <v>3000</v>
      </c>
      <c r="W60" s="76">
        <f t="shared" si="32"/>
        <v>34.2</v>
      </c>
      <c r="X60" s="59">
        <f t="shared" si="33"/>
        <v>1</v>
      </c>
      <c r="Y60" s="79"/>
      <c r="Z60" s="79" t="s">
        <v>276</v>
      </c>
      <c r="AA60" s="79"/>
      <c r="AB60" s="79"/>
      <c r="AC60" s="22"/>
      <c r="AD60" s="22"/>
      <c r="AE60" s="22"/>
      <c r="AF60" s="83"/>
    </row>
    <row r="61" s="4" customFormat="true" ht="72" spans="1:32">
      <c r="A61" s="22" t="s">
        <v>277</v>
      </c>
      <c r="B61" s="22"/>
      <c r="C61" s="22"/>
      <c r="D61" s="22"/>
      <c r="E61" s="22" t="s">
        <v>267</v>
      </c>
      <c r="F61" s="66" t="s">
        <v>278</v>
      </c>
      <c r="G61" s="62">
        <v>105.61</v>
      </c>
      <c r="H61" s="59">
        <v>1</v>
      </c>
      <c r="I61" s="59" t="s">
        <v>44</v>
      </c>
      <c r="J61" s="24">
        <v>20</v>
      </c>
      <c r="K61" s="59" t="s">
        <v>69</v>
      </c>
      <c r="L61" s="58">
        <v>20000</v>
      </c>
      <c r="M61" s="62">
        <f>J61*L61/10000</f>
        <v>40</v>
      </c>
      <c r="N61" s="76">
        <f t="shared" si="27"/>
        <v>0.378752012120064</v>
      </c>
      <c r="O61" s="59">
        <f t="shared" si="28"/>
        <v>0.0047344001515008</v>
      </c>
      <c r="P61" s="58">
        <f>M61+M62+M63</f>
        <v>75</v>
      </c>
      <c r="Q61" s="62">
        <f>N61+N62+N63</f>
        <v>0.710160022725121</v>
      </c>
      <c r="R61" s="59">
        <f>P61/(G61*80)</f>
        <v>0.00887700028406401</v>
      </c>
      <c r="S61" s="76">
        <v>20000</v>
      </c>
      <c r="T61" s="76">
        <f t="shared" si="29"/>
        <v>40</v>
      </c>
      <c r="U61" s="59">
        <f t="shared" si="30"/>
        <v>1</v>
      </c>
      <c r="V61" s="76">
        <f t="shared" si="31"/>
        <v>0</v>
      </c>
      <c r="W61" s="76">
        <f t="shared" si="32"/>
        <v>0</v>
      </c>
      <c r="X61" s="59">
        <f t="shared" si="33"/>
        <v>0</v>
      </c>
      <c r="Y61" s="22" t="s">
        <v>279</v>
      </c>
      <c r="Z61" s="79" t="s">
        <v>280</v>
      </c>
      <c r="AA61" s="79" t="s">
        <v>281</v>
      </c>
      <c r="AB61" s="79" t="s">
        <v>282</v>
      </c>
      <c r="AC61" s="22" t="s">
        <v>44</v>
      </c>
      <c r="AD61" s="22" t="s">
        <v>44</v>
      </c>
      <c r="AE61" s="22" t="s">
        <v>44</v>
      </c>
      <c r="AF61" s="83" t="s">
        <v>283</v>
      </c>
    </row>
    <row r="62" s="4" customFormat="true" ht="60" spans="1:32">
      <c r="A62" s="22"/>
      <c r="B62" s="22"/>
      <c r="C62" s="22"/>
      <c r="D62" s="22"/>
      <c r="E62" s="22" t="s">
        <v>284</v>
      </c>
      <c r="F62" s="67"/>
      <c r="G62" s="22">
        <v>105.61</v>
      </c>
      <c r="H62" s="59">
        <v>1</v>
      </c>
      <c r="I62" s="59" t="s">
        <v>44</v>
      </c>
      <c r="J62" s="58">
        <v>1</v>
      </c>
      <c r="K62" s="58" t="s">
        <v>69</v>
      </c>
      <c r="L62" s="58">
        <v>8000</v>
      </c>
      <c r="M62" s="62">
        <f>J62*L62/10000</f>
        <v>0.8</v>
      </c>
      <c r="N62" s="76">
        <f t="shared" si="27"/>
        <v>0.00757504024240129</v>
      </c>
      <c r="O62" s="59">
        <f t="shared" si="28"/>
        <v>9.46880030300161e-5</v>
      </c>
      <c r="P62" s="58"/>
      <c r="Q62" s="62"/>
      <c r="R62" s="59"/>
      <c r="S62" s="76">
        <v>0</v>
      </c>
      <c r="T62" s="76">
        <f t="shared" si="29"/>
        <v>0</v>
      </c>
      <c r="U62" s="59">
        <f t="shared" si="30"/>
        <v>0</v>
      </c>
      <c r="V62" s="76">
        <f t="shared" si="31"/>
        <v>8000</v>
      </c>
      <c r="W62" s="76">
        <f t="shared" si="32"/>
        <v>0.8</v>
      </c>
      <c r="X62" s="59">
        <f t="shared" si="33"/>
        <v>1</v>
      </c>
      <c r="Y62" s="22"/>
      <c r="Z62" s="79" t="s">
        <v>285</v>
      </c>
      <c r="AA62" s="79"/>
      <c r="AB62" s="79"/>
      <c r="AC62" s="22"/>
      <c r="AD62" s="22"/>
      <c r="AE62" s="22"/>
      <c r="AF62" s="79"/>
    </row>
    <row r="63" s="4" customFormat="true" ht="72" spans="1:32">
      <c r="A63" s="22"/>
      <c r="B63" s="22"/>
      <c r="C63" s="22"/>
      <c r="D63" s="22"/>
      <c r="E63" s="41" t="s">
        <v>275</v>
      </c>
      <c r="F63" s="68"/>
      <c r="G63" s="62">
        <v>105.61</v>
      </c>
      <c r="H63" s="59">
        <v>1</v>
      </c>
      <c r="I63" s="59" t="s">
        <v>44</v>
      </c>
      <c r="J63" s="58">
        <v>114</v>
      </c>
      <c r="K63" s="59" t="s">
        <v>69</v>
      </c>
      <c r="L63" s="58">
        <v>3000</v>
      </c>
      <c r="M63" s="62">
        <f>J63*L63/10000</f>
        <v>34.2</v>
      </c>
      <c r="N63" s="76">
        <f t="shared" si="27"/>
        <v>0.323832970362655</v>
      </c>
      <c r="O63" s="59">
        <f t="shared" si="28"/>
        <v>0.00404791212953319</v>
      </c>
      <c r="P63" s="58"/>
      <c r="Q63" s="62"/>
      <c r="R63" s="59"/>
      <c r="S63" s="76">
        <v>0</v>
      </c>
      <c r="T63" s="76">
        <f t="shared" si="29"/>
        <v>0</v>
      </c>
      <c r="U63" s="59">
        <f t="shared" si="30"/>
        <v>0</v>
      </c>
      <c r="V63" s="76">
        <f t="shared" si="31"/>
        <v>3000</v>
      </c>
      <c r="W63" s="76">
        <f t="shared" si="32"/>
        <v>34.2</v>
      </c>
      <c r="X63" s="59">
        <f t="shared" si="33"/>
        <v>1</v>
      </c>
      <c r="Y63" s="22"/>
      <c r="Z63" s="79" t="s">
        <v>286</v>
      </c>
      <c r="AA63" s="79"/>
      <c r="AB63" s="79"/>
      <c r="AC63" s="22"/>
      <c r="AD63" s="22"/>
      <c r="AE63" s="22"/>
      <c r="AF63" s="79"/>
    </row>
    <row r="64" s="4" customFormat="true" ht="84" spans="1:32">
      <c r="A64" s="22" t="s">
        <v>287</v>
      </c>
      <c r="B64" s="22"/>
      <c r="C64" s="22"/>
      <c r="D64" s="22"/>
      <c r="E64" s="22"/>
      <c r="F64" s="59" t="s">
        <v>60</v>
      </c>
      <c r="G64" s="62">
        <v>105.61</v>
      </c>
      <c r="H64" s="59"/>
      <c r="I64" s="59"/>
      <c r="J64" s="58"/>
      <c r="K64" s="59"/>
      <c r="L64" s="62">
        <v>0.5</v>
      </c>
      <c r="M64" s="62">
        <f>G64*L64</f>
        <v>52.805</v>
      </c>
      <c r="N64" s="76">
        <f t="shared" si="27"/>
        <v>0.5</v>
      </c>
      <c r="O64" s="59">
        <f t="shared" si="28"/>
        <v>0.00625</v>
      </c>
      <c r="P64" s="58">
        <f>M64</f>
        <v>52.805</v>
      </c>
      <c r="Q64" s="62">
        <f>N64</f>
        <v>0.5</v>
      </c>
      <c r="R64" s="77">
        <f>P64/(G64*80)</f>
        <v>0.00625</v>
      </c>
      <c r="S64" s="76">
        <v>0.5</v>
      </c>
      <c r="T64" s="62">
        <v>52.81</v>
      </c>
      <c r="U64" s="59">
        <f t="shared" si="30"/>
        <v>1</v>
      </c>
      <c r="V64" s="76">
        <v>0</v>
      </c>
      <c r="W64" s="76">
        <f t="shared" si="32"/>
        <v>0</v>
      </c>
      <c r="X64" s="59">
        <f t="shared" si="33"/>
        <v>0</v>
      </c>
      <c r="Y64" s="22" t="s">
        <v>288</v>
      </c>
      <c r="Z64" s="79" t="s">
        <v>289</v>
      </c>
      <c r="AA64" s="79"/>
      <c r="AB64" s="79"/>
      <c r="AC64" s="22"/>
      <c r="AD64" s="22"/>
      <c r="AE64" s="22"/>
      <c r="AF64" s="79"/>
    </row>
    <row r="65" s="4" customFormat="true" ht="84" spans="1:32">
      <c r="A65" s="22" t="s">
        <v>290</v>
      </c>
      <c r="B65" s="22"/>
      <c r="C65" s="22"/>
      <c r="D65" s="22"/>
      <c r="E65" s="41" t="s">
        <v>291</v>
      </c>
      <c r="F65" s="59" t="s">
        <v>60</v>
      </c>
      <c r="G65" s="62">
        <v>105.61</v>
      </c>
      <c r="H65" s="59"/>
      <c r="I65" s="59"/>
      <c r="J65" s="58"/>
      <c r="K65" s="59"/>
      <c r="L65" s="58">
        <v>0</v>
      </c>
      <c r="M65" s="62">
        <f>G65*L65</f>
        <v>0</v>
      </c>
      <c r="N65" s="76">
        <f t="shared" si="27"/>
        <v>0</v>
      </c>
      <c r="O65" s="59">
        <f t="shared" si="28"/>
        <v>0</v>
      </c>
      <c r="P65" s="58">
        <f>M65</f>
        <v>0</v>
      </c>
      <c r="Q65" s="62">
        <f>N65</f>
        <v>0</v>
      </c>
      <c r="R65" s="77">
        <f>P65/(G65*80)</f>
        <v>0</v>
      </c>
      <c r="S65" s="58">
        <v>5</v>
      </c>
      <c r="T65" s="62">
        <v>0</v>
      </c>
      <c r="U65" s="59" t="e">
        <f t="shared" si="30"/>
        <v>#DIV/0!</v>
      </c>
      <c r="V65" s="76">
        <v>0</v>
      </c>
      <c r="W65" s="76">
        <v>0</v>
      </c>
      <c r="X65" s="59" t="e">
        <f t="shared" si="33"/>
        <v>#DIV/0!</v>
      </c>
      <c r="Y65" s="22" t="s">
        <v>292</v>
      </c>
      <c r="Z65" s="79" t="s">
        <v>293</v>
      </c>
      <c r="AA65" s="79"/>
      <c r="AB65" s="79"/>
      <c r="AC65" s="22"/>
      <c r="AD65" s="22"/>
      <c r="AE65" s="22"/>
      <c r="AF65" s="79"/>
    </row>
    <row r="66" s="5" customFormat="true" ht="25" customHeight="true" spans="1:32">
      <c r="A66" s="85" t="s">
        <v>294</v>
      </c>
      <c r="B66" s="85"/>
      <c r="C66" s="85"/>
      <c r="D66" s="85"/>
      <c r="E66" s="86" t="s">
        <v>44</v>
      </c>
      <c r="F66" s="59"/>
      <c r="G66" s="59"/>
      <c r="H66" s="59" t="s">
        <v>44</v>
      </c>
      <c r="I66" s="59" t="s">
        <v>44</v>
      </c>
      <c r="J66" s="59" t="s">
        <v>44</v>
      </c>
      <c r="K66" s="59" t="s">
        <v>44</v>
      </c>
      <c r="L66" s="59" t="s">
        <v>44</v>
      </c>
      <c r="M66" s="87">
        <f>SUM(M6:M65)</f>
        <v>8721.2768568036</v>
      </c>
      <c r="N66" s="88">
        <f>SUM(N6:N65)</f>
        <v>82.5800289442628</v>
      </c>
      <c r="O66" s="88">
        <v>1</v>
      </c>
      <c r="P66" s="88">
        <f>SUM(P6:P65)</f>
        <v>8245.8068568036</v>
      </c>
      <c r="Q66" s="88">
        <f>SUM(Q6:Q65)</f>
        <v>78.0778984641947</v>
      </c>
      <c r="R66" s="88">
        <v>1</v>
      </c>
      <c r="S66" s="76"/>
      <c r="T66" s="76">
        <f>SUM(T6:T65)</f>
        <v>5148.4387255195</v>
      </c>
      <c r="U66" s="59">
        <f>T66/M66</f>
        <v>0.590330843757485</v>
      </c>
      <c r="V66" s="76"/>
      <c r="W66" s="76">
        <f>SUM(W6:W65)</f>
        <v>3513.3831312841</v>
      </c>
      <c r="X66" s="59">
        <f>W66/M66</f>
        <v>0.402851920535381</v>
      </c>
      <c r="Y66" s="89" t="s">
        <v>44</v>
      </c>
      <c r="Z66" s="89" t="s">
        <v>44</v>
      </c>
      <c r="AA66" s="89" t="s">
        <v>44</v>
      </c>
      <c r="AB66" s="89" t="s">
        <v>44</v>
      </c>
      <c r="AC66" s="89" t="s">
        <v>44</v>
      </c>
      <c r="AD66" s="89" t="s">
        <v>44</v>
      </c>
      <c r="AE66" s="89" t="s">
        <v>44</v>
      </c>
      <c r="AF66" s="89" t="s">
        <v>44</v>
      </c>
    </row>
    <row r="67" s="6" customFormat="true" ht="27" customHeight="true" spans="1:32">
      <c r="A67" s="79" t="s">
        <v>295</v>
      </c>
      <c r="B67" s="79"/>
      <c r="C67" s="79"/>
      <c r="D67" s="79"/>
      <c r="E67" s="22"/>
      <c r="F67" s="22"/>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row>
  </sheetData>
  <mergeCells count="212">
    <mergeCell ref="A1:B1"/>
    <mergeCell ref="A2:AF2"/>
    <mergeCell ref="G3:R3"/>
    <mergeCell ref="S3:X3"/>
    <mergeCell ref="S4:U4"/>
    <mergeCell ref="V4:X4"/>
    <mergeCell ref="B6:D6"/>
    <mergeCell ref="B7:D7"/>
    <mergeCell ref="B9:D9"/>
    <mergeCell ref="B10:D10"/>
    <mergeCell ref="B11:D11"/>
    <mergeCell ref="B14:D14"/>
    <mergeCell ref="B18:C18"/>
    <mergeCell ref="B19:D19"/>
    <mergeCell ref="B20:D20"/>
    <mergeCell ref="B21:D21"/>
    <mergeCell ref="B22:D22"/>
    <mergeCell ref="B23:D23"/>
    <mergeCell ref="B24:D24"/>
    <mergeCell ref="B28:D28"/>
    <mergeCell ref="B29:D29"/>
    <mergeCell ref="B32:D32"/>
    <mergeCell ref="B33:D33"/>
    <mergeCell ref="B34:D34"/>
    <mergeCell ref="B35:D35"/>
    <mergeCell ref="B36:E36"/>
    <mergeCell ref="B40:E40"/>
    <mergeCell ref="B41:E41"/>
    <mergeCell ref="B46:D46"/>
    <mergeCell ref="B47:D47"/>
    <mergeCell ref="B48:D48"/>
    <mergeCell ref="B49:D49"/>
    <mergeCell ref="B50:D50"/>
    <mergeCell ref="B51:C51"/>
    <mergeCell ref="B52:C52"/>
    <mergeCell ref="B53:C53"/>
    <mergeCell ref="B54:C54"/>
    <mergeCell ref="B55:D55"/>
    <mergeCell ref="B56:D56"/>
    <mergeCell ref="A64:E64"/>
    <mergeCell ref="A65:C65"/>
    <mergeCell ref="A66:D66"/>
    <mergeCell ref="A67:AF67"/>
    <mergeCell ref="A3:A5"/>
    <mergeCell ref="A6:A9"/>
    <mergeCell ref="A10:A17"/>
    <mergeCell ref="A19:A22"/>
    <mergeCell ref="A23:A28"/>
    <mergeCell ref="A29:A31"/>
    <mergeCell ref="A32:A35"/>
    <mergeCell ref="A36:A40"/>
    <mergeCell ref="A41:A45"/>
    <mergeCell ref="A46:A50"/>
    <mergeCell ref="A51:A54"/>
    <mergeCell ref="A55:A56"/>
    <mergeCell ref="E3:E5"/>
    <mergeCell ref="E25:E27"/>
    <mergeCell ref="F3:F5"/>
    <mergeCell ref="F57:F60"/>
    <mergeCell ref="F61:F63"/>
    <mergeCell ref="G4:G5"/>
    <mergeCell ref="H4:H5"/>
    <mergeCell ref="I4:I5"/>
    <mergeCell ref="J4:J5"/>
    <mergeCell ref="K4:K5"/>
    <mergeCell ref="L4:L5"/>
    <mergeCell ref="M4:M5"/>
    <mergeCell ref="N4:N5"/>
    <mergeCell ref="O4:O5"/>
    <mergeCell ref="P4:P5"/>
    <mergeCell ref="P6:P9"/>
    <mergeCell ref="P10:P18"/>
    <mergeCell ref="P19:P22"/>
    <mergeCell ref="P23:P28"/>
    <mergeCell ref="P29:P30"/>
    <mergeCell ref="P32:P35"/>
    <mergeCell ref="P36:P40"/>
    <mergeCell ref="P41:P45"/>
    <mergeCell ref="P46:P50"/>
    <mergeCell ref="P51:P54"/>
    <mergeCell ref="P55:P56"/>
    <mergeCell ref="P58:P60"/>
    <mergeCell ref="P61:P63"/>
    <mergeCell ref="Q4:Q5"/>
    <mergeCell ref="Q6:Q9"/>
    <mergeCell ref="Q10:Q18"/>
    <mergeCell ref="Q19:Q22"/>
    <mergeCell ref="Q23:Q28"/>
    <mergeCell ref="Q29:Q30"/>
    <mergeCell ref="Q32:Q35"/>
    <mergeCell ref="Q36:Q40"/>
    <mergeCell ref="Q41:Q45"/>
    <mergeCell ref="Q46:Q50"/>
    <mergeCell ref="Q51:Q54"/>
    <mergeCell ref="Q55:Q56"/>
    <mergeCell ref="Q58:Q60"/>
    <mergeCell ref="Q61:Q63"/>
    <mergeCell ref="R4:R5"/>
    <mergeCell ref="R6:R9"/>
    <mergeCell ref="R10:R18"/>
    <mergeCell ref="R19:R22"/>
    <mergeCell ref="R23:R28"/>
    <mergeCell ref="R29:R30"/>
    <mergeCell ref="R32:R35"/>
    <mergeCell ref="R36:R40"/>
    <mergeCell ref="R41:R45"/>
    <mergeCell ref="R46:R50"/>
    <mergeCell ref="R51:R54"/>
    <mergeCell ref="R55:R56"/>
    <mergeCell ref="R58:R60"/>
    <mergeCell ref="R61:R63"/>
    <mergeCell ref="Y3:Y5"/>
    <mergeCell ref="Y12:Y13"/>
    <mergeCell ref="Y16:Y17"/>
    <mergeCell ref="Y25:Y27"/>
    <mergeCell ref="Y58:Y60"/>
    <mergeCell ref="Y61:Y63"/>
    <mergeCell ref="Z3:Z5"/>
    <mergeCell ref="Z37:Z39"/>
    <mergeCell ref="Z42:Z44"/>
    <mergeCell ref="Z46:Z50"/>
    <mergeCell ref="Z51:Z54"/>
    <mergeCell ref="AA6:AA9"/>
    <mergeCell ref="AA10:AA17"/>
    <mergeCell ref="AA19:AA22"/>
    <mergeCell ref="AA23:AA28"/>
    <mergeCell ref="AA29:AA30"/>
    <mergeCell ref="AA32:AA35"/>
    <mergeCell ref="AA36:AA40"/>
    <mergeCell ref="AA41:AA45"/>
    <mergeCell ref="AA46:AA50"/>
    <mergeCell ref="AA51:AA54"/>
    <mergeCell ref="AA55:AA56"/>
    <mergeCell ref="AA58:AA60"/>
    <mergeCell ref="AA61:AA63"/>
    <mergeCell ref="AB6:AB9"/>
    <mergeCell ref="AB10:AB17"/>
    <mergeCell ref="AB19:AB22"/>
    <mergeCell ref="AB23:AB28"/>
    <mergeCell ref="AB29:AB30"/>
    <mergeCell ref="AB32:AB35"/>
    <mergeCell ref="AB36:AB40"/>
    <mergeCell ref="AB41:AB45"/>
    <mergeCell ref="AB46:AB50"/>
    <mergeCell ref="AB51:AB54"/>
    <mergeCell ref="AB55:AB56"/>
    <mergeCell ref="AB58:AB60"/>
    <mergeCell ref="AB61:AB63"/>
    <mergeCell ref="AC6:AC9"/>
    <mergeCell ref="AC10:AC17"/>
    <mergeCell ref="AC19:AC22"/>
    <mergeCell ref="AC23:AC28"/>
    <mergeCell ref="AC29:AC30"/>
    <mergeCell ref="AC32:AC35"/>
    <mergeCell ref="AC36:AC40"/>
    <mergeCell ref="AC41:AC45"/>
    <mergeCell ref="AC46:AC50"/>
    <mergeCell ref="AC51:AC54"/>
    <mergeCell ref="AC55:AC56"/>
    <mergeCell ref="AC58:AC60"/>
    <mergeCell ref="AC61:AC63"/>
    <mergeCell ref="AD6:AD9"/>
    <mergeCell ref="AD10:AD17"/>
    <mergeCell ref="AD19:AD22"/>
    <mergeCell ref="AD23:AD28"/>
    <mergeCell ref="AD29:AD30"/>
    <mergeCell ref="AD32:AD35"/>
    <mergeCell ref="AD36:AD40"/>
    <mergeCell ref="AD41:AD45"/>
    <mergeCell ref="AD46:AD50"/>
    <mergeCell ref="AD51:AD54"/>
    <mergeCell ref="AD55:AD56"/>
    <mergeCell ref="AD58:AD60"/>
    <mergeCell ref="AD61:AD63"/>
    <mergeCell ref="AE6:AE9"/>
    <mergeCell ref="AE10:AE17"/>
    <mergeCell ref="AE19:AE22"/>
    <mergeCell ref="AE23:AE28"/>
    <mergeCell ref="AE29:AE30"/>
    <mergeCell ref="AE32:AE35"/>
    <mergeCell ref="AE36:AE40"/>
    <mergeCell ref="AE41:AE45"/>
    <mergeCell ref="AE46:AE50"/>
    <mergeCell ref="AE51:AE54"/>
    <mergeCell ref="AE55:AE56"/>
    <mergeCell ref="AE58:AE60"/>
    <mergeCell ref="AE61:AE63"/>
    <mergeCell ref="AF3:AF5"/>
    <mergeCell ref="AF6:AF9"/>
    <mergeCell ref="AF10:AF17"/>
    <mergeCell ref="AF19:AF22"/>
    <mergeCell ref="AF23:AF28"/>
    <mergeCell ref="AF29:AF30"/>
    <mergeCell ref="AF32:AF35"/>
    <mergeCell ref="AF36:AF40"/>
    <mergeCell ref="AF41:AF45"/>
    <mergeCell ref="AF46:AF50"/>
    <mergeCell ref="AF51:AF54"/>
    <mergeCell ref="AF55:AF56"/>
    <mergeCell ref="AF58:AF60"/>
    <mergeCell ref="AF61:AF63"/>
    <mergeCell ref="B3:D5"/>
    <mergeCell ref="B12:D13"/>
    <mergeCell ref="B25:D27"/>
    <mergeCell ref="B15:D17"/>
    <mergeCell ref="B42:C44"/>
    <mergeCell ref="B37:C39"/>
    <mergeCell ref="B30:D31"/>
    <mergeCell ref="A61:D63"/>
    <mergeCell ref="A57:D60"/>
    <mergeCell ref="AA3:AB4"/>
    <mergeCell ref="AC3:AE4"/>
  </mergeCells>
  <pageMargins left="0.236111111111111" right="0.196527777777778" top="1" bottom="1" header="0.5" footer="0.5"/>
  <pageSetup paperSize="8" scale="50"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80元基本公卫测算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uos</cp:lastModifiedBy>
  <dcterms:created xsi:type="dcterms:W3CDTF">1996-12-22T17:32:00Z</dcterms:created>
  <cp:lastPrinted>2019-03-15T23:24:00Z</cp:lastPrinted>
  <dcterms:modified xsi:type="dcterms:W3CDTF">2023-10-30T16:28:12Z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KSORubyTemplateID">
    <vt:lpwstr>11</vt:lpwstr>
  </property>
  <property fmtid="{D5CDD505-2E9C-101B-9397-08002B2CF9AE}" pid="4" name="ICV">
    <vt:lpwstr>69D77281D1DB4960904A92B9D312233C</vt:lpwstr>
  </property>
</Properties>
</file>